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\Desktop\"/>
    </mc:Choice>
  </mc:AlternateContent>
  <bookViews>
    <workbookView xWindow="0" yWindow="60" windowWidth="20490" windowHeight="7455" firstSheet="10" activeTab="14"/>
  </bookViews>
  <sheets>
    <sheet name="Índice" sheetId="1" r:id="rId1"/>
    <sheet name="Plan1" sheetId="18" r:id="rId2"/>
    <sheet name="Expansão Termica" sheetId="2" r:id="rId3"/>
    <sheet name="Resistência Química" sheetId="3" r:id="rId4"/>
    <sheet name="Consumo Adesivo" sheetId="4" r:id="rId5"/>
    <sheet name="Distância Suportes" sheetId="5" r:id="rId6"/>
    <sheet name="Parafusos e Porcas p Flanges" sheetId="6" r:id="rId7"/>
    <sheet name="Perda de carga PVC-U x Aço" sheetId="7" r:id="rId8"/>
    <sheet name="Perda de carga Tubos aço" sheetId="8" r:id="rId9"/>
    <sheet name="Tubos PVC-U e CPVC" sheetId="9" r:id="rId10"/>
    <sheet name="Condutividade Termica" sheetId="10" r:id="rId11"/>
    <sheet name="Pesos tubos  cheios" sheetId="15" r:id="rId12"/>
    <sheet name="Válvulas vapor" sheetId="12" r:id="rId13"/>
    <sheet name="Válvulas Ar" sheetId="13" r:id="rId14"/>
    <sheet name="Pressão x Temp" sheetId="14" r:id="rId15"/>
    <sheet name="Área Tubos " sheetId="16" r:id="rId16"/>
    <sheet name="Dimensões dos tubos" sheetId="17" r:id="rId17"/>
  </sheets>
  <externalReferences>
    <externalReference r:id="rId18"/>
  </externalReferences>
  <calcPr calcId="152511"/>
  <customWorkbookViews>
    <customWorkbookView name="Usuário do Windows - Modo de exibição pessoal" guid="{C2890FB4-BE88-474C-B3CD-908783EA9CB2}" mergeInterval="0" personalView="1" maximized="1" windowWidth="1362" windowHeight="553" activeSheetId="2"/>
  </customWorkbookViews>
</workbook>
</file>

<file path=xl/calcChain.xml><?xml version="1.0" encoding="utf-8"?>
<calcChain xmlns="http://schemas.openxmlformats.org/spreadsheetml/2006/main">
  <c r="U33" i="17" l="1"/>
  <c r="R33" i="17"/>
  <c r="O33" i="17"/>
  <c r="R17" i="17"/>
  <c r="O17" i="17"/>
  <c r="F17" i="17"/>
  <c r="U32" i="17"/>
  <c r="R32" i="17"/>
  <c r="O32" i="17"/>
  <c r="R16" i="17"/>
  <c r="O16" i="17"/>
  <c r="L16" i="17"/>
  <c r="F16" i="17"/>
  <c r="R15" i="17"/>
  <c r="O15" i="17"/>
  <c r="L15" i="17"/>
  <c r="F15" i="17"/>
  <c r="U30" i="17"/>
  <c r="R14" i="17"/>
  <c r="O14" i="17"/>
  <c r="L14" i="17"/>
  <c r="I14" i="17"/>
  <c r="F14" i="17"/>
  <c r="U29" i="17"/>
  <c r="L29" i="17"/>
  <c r="I29" i="17"/>
  <c r="F29" i="17"/>
  <c r="U13" i="17"/>
  <c r="R13" i="17"/>
  <c r="O13" i="17"/>
  <c r="L13" i="17"/>
  <c r="I13" i="17"/>
  <c r="F13" i="17"/>
  <c r="U28" i="17"/>
  <c r="L28" i="17"/>
  <c r="I28" i="17"/>
  <c r="F28" i="17"/>
  <c r="U12" i="17"/>
  <c r="R12" i="17"/>
  <c r="O12" i="17"/>
  <c r="L12" i="17"/>
  <c r="I12" i="17"/>
  <c r="F12" i="17"/>
  <c r="U27" i="17"/>
  <c r="L27" i="17"/>
  <c r="I27" i="17"/>
  <c r="F27" i="17"/>
  <c r="U11" i="17"/>
  <c r="R11" i="17"/>
  <c r="O11" i="17"/>
  <c r="L11" i="17"/>
  <c r="I11" i="17"/>
  <c r="F11" i="17"/>
  <c r="L26" i="17"/>
  <c r="I26" i="17"/>
  <c r="F26" i="17"/>
  <c r="U10" i="17"/>
  <c r="R10" i="17"/>
  <c r="O10" i="17"/>
  <c r="L10" i="17"/>
  <c r="I10" i="17"/>
  <c r="F10" i="17"/>
  <c r="L25" i="17"/>
  <c r="I25" i="17"/>
  <c r="F25" i="17"/>
  <c r="U9" i="17"/>
  <c r="R9" i="17"/>
  <c r="O9" i="17"/>
  <c r="L9" i="17"/>
  <c r="I9" i="17"/>
  <c r="F9" i="17"/>
  <c r="L24" i="17"/>
  <c r="I24" i="17"/>
  <c r="F24" i="17"/>
  <c r="U8" i="17"/>
  <c r="R8" i="17"/>
  <c r="O8" i="17"/>
  <c r="L8" i="17"/>
  <c r="I8" i="17"/>
  <c r="F8" i="17"/>
  <c r="L23" i="17"/>
  <c r="I23" i="17"/>
  <c r="F23" i="17"/>
  <c r="U7" i="17"/>
  <c r="R7" i="17"/>
  <c r="O7" i="17"/>
  <c r="L7" i="17"/>
  <c r="I7" i="17"/>
  <c r="F7" i="17"/>
  <c r="L22" i="17"/>
  <c r="I22" i="17"/>
  <c r="F22" i="17"/>
  <c r="U6" i="17"/>
  <c r="R6" i="17"/>
  <c r="O6" i="17"/>
  <c r="L6" i="17"/>
  <c r="I6" i="17"/>
  <c r="F6" i="17"/>
  <c r="I22" i="16"/>
  <c r="E22" i="16"/>
  <c r="I21" i="16"/>
  <c r="E21" i="16"/>
  <c r="E20" i="16"/>
  <c r="I19" i="16"/>
  <c r="E19" i="16"/>
  <c r="I18" i="16"/>
  <c r="G18" i="16"/>
  <c r="E18" i="16"/>
  <c r="I17" i="16"/>
  <c r="G17" i="16"/>
  <c r="E17" i="16"/>
  <c r="I16" i="16"/>
  <c r="G16" i="16"/>
  <c r="E16" i="16"/>
  <c r="G15" i="16"/>
  <c r="E15" i="16"/>
  <c r="G14" i="16"/>
  <c r="E14" i="16"/>
  <c r="G13" i="16"/>
  <c r="E13" i="16"/>
  <c r="G12" i="16"/>
  <c r="E12" i="16"/>
  <c r="G11" i="16"/>
  <c r="E11" i="16"/>
  <c r="R51" i="15" l="1"/>
  <c r="Q51" i="15"/>
  <c r="P51" i="15"/>
  <c r="K51" i="15"/>
  <c r="E51" i="15"/>
  <c r="R50" i="15"/>
  <c r="Q50" i="15"/>
  <c r="P50" i="15"/>
  <c r="K50" i="15"/>
  <c r="J50" i="15"/>
  <c r="I50" i="15"/>
  <c r="H50" i="15"/>
  <c r="E50" i="15"/>
  <c r="I49" i="15"/>
  <c r="H49" i="15"/>
  <c r="E49" i="15"/>
  <c r="R48" i="15"/>
  <c r="K48" i="15"/>
  <c r="J48" i="15"/>
  <c r="I48" i="15"/>
  <c r="H48" i="15"/>
  <c r="G48" i="15"/>
  <c r="F48" i="15"/>
  <c r="E48" i="15"/>
  <c r="R47" i="15"/>
  <c r="O47" i="15"/>
  <c r="N47" i="15"/>
  <c r="L47" i="15"/>
  <c r="K47" i="15"/>
  <c r="J47" i="15"/>
  <c r="I47" i="15"/>
  <c r="H47" i="15"/>
  <c r="G47" i="15"/>
  <c r="F47" i="15"/>
  <c r="E47" i="15"/>
  <c r="R46" i="15"/>
  <c r="O46" i="15"/>
  <c r="N46" i="15"/>
  <c r="M46" i="15"/>
  <c r="L46" i="15"/>
  <c r="K46" i="15"/>
  <c r="J46" i="15"/>
  <c r="I46" i="15"/>
  <c r="H46" i="15"/>
  <c r="G46" i="15"/>
  <c r="F46" i="15"/>
  <c r="E46" i="15"/>
  <c r="R45" i="15"/>
  <c r="O45" i="15"/>
  <c r="N45" i="15"/>
  <c r="M45" i="15"/>
  <c r="L45" i="15"/>
  <c r="K45" i="15"/>
  <c r="J45" i="15"/>
  <c r="I45" i="15"/>
  <c r="H45" i="15"/>
  <c r="G45" i="15"/>
  <c r="F45" i="15"/>
  <c r="E45" i="15"/>
  <c r="O44" i="15"/>
  <c r="N44" i="15"/>
  <c r="M44" i="15"/>
  <c r="L44" i="15"/>
  <c r="K44" i="15"/>
  <c r="J44" i="15"/>
  <c r="I44" i="15"/>
  <c r="H44" i="15"/>
  <c r="G44" i="15"/>
  <c r="F44" i="15"/>
  <c r="E44" i="15"/>
  <c r="O43" i="15"/>
  <c r="N43" i="15"/>
  <c r="M43" i="15"/>
  <c r="L43" i="15"/>
  <c r="K43" i="15"/>
  <c r="J43" i="15"/>
  <c r="I43" i="15"/>
  <c r="H43" i="15"/>
  <c r="G43" i="15"/>
  <c r="F43" i="15"/>
  <c r="E43" i="15"/>
  <c r="O42" i="15"/>
  <c r="N42" i="15"/>
  <c r="M42" i="15"/>
  <c r="L42" i="15"/>
  <c r="K42" i="15"/>
  <c r="J42" i="15"/>
  <c r="I42" i="15"/>
  <c r="H42" i="15"/>
  <c r="G42" i="15"/>
  <c r="F42" i="15"/>
  <c r="E42" i="15"/>
  <c r="O41" i="15"/>
  <c r="N41" i="15"/>
  <c r="L41" i="15"/>
  <c r="K41" i="15"/>
  <c r="J41" i="15"/>
  <c r="I41" i="15"/>
  <c r="H41" i="15"/>
  <c r="G41" i="15"/>
  <c r="F41" i="15"/>
  <c r="E41" i="15"/>
  <c r="O40" i="15"/>
  <c r="N40" i="15"/>
  <c r="L40" i="15"/>
  <c r="K40" i="15"/>
  <c r="J40" i="15"/>
  <c r="I40" i="15"/>
  <c r="H40" i="15"/>
  <c r="G40" i="15"/>
  <c r="F40" i="15"/>
  <c r="E40" i="15"/>
  <c r="X25" i="14" l="1"/>
  <c r="X26" i="14"/>
  <c r="X24" i="14"/>
  <c r="V25" i="14"/>
  <c r="V26" i="14"/>
  <c r="V24" i="14"/>
  <c r="T25" i="14"/>
  <c r="T26" i="14"/>
  <c r="T24" i="14"/>
  <c r="E8" i="14" l="1"/>
  <c r="F8" i="14"/>
  <c r="G8" i="14"/>
  <c r="H8" i="14"/>
  <c r="I8" i="14"/>
  <c r="J8" i="14"/>
  <c r="K8" i="14"/>
  <c r="L8" i="14"/>
  <c r="M8" i="14"/>
  <c r="N8" i="14"/>
  <c r="O8" i="14"/>
  <c r="E9" i="14"/>
  <c r="F9" i="14"/>
  <c r="G9" i="14"/>
  <c r="H9" i="14"/>
  <c r="I9" i="14"/>
  <c r="J9" i="14"/>
  <c r="K9" i="14"/>
  <c r="L9" i="14"/>
  <c r="M9" i="14"/>
  <c r="N9" i="14"/>
  <c r="O9" i="14"/>
  <c r="E10" i="14"/>
  <c r="F10" i="14"/>
  <c r="G10" i="14"/>
  <c r="H10" i="14"/>
  <c r="I10" i="14"/>
  <c r="J10" i="14"/>
  <c r="K10" i="14"/>
  <c r="L10" i="14"/>
  <c r="M10" i="14"/>
  <c r="N10" i="14"/>
  <c r="O10" i="14"/>
  <c r="E11" i="14"/>
  <c r="F11" i="14"/>
  <c r="G11" i="14"/>
  <c r="H11" i="14"/>
  <c r="I11" i="14"/>
  <c r="J11" i="14"/>
  <c r="K11" i="14"/>
  <c r="L11" i="14"/>
  <c r="M11" i="14"/>
  <c r="N11" i="14"/>
  <c r="O11" i="14"/>
  <c r="E12" i="14"/>
  <c r="F12" i="14"/>
  <c r="G12" i="14"/>
  <c r="H12" i="14"/>
  <c r="I12" i="14"/>
  <c r="J12" i="14"/>
  <c r="K12" i="14"/>
  <c r="L12" i="14"/>
  <c r="M12" i="14"/>
  <c r="N12" i="14"/>
  <c r="O12" i="14"/>
  <c r="E13" i="14"/>
  <c r="F13" i="14"/>
  <c r="G13" i="14"/>
  <c r="H13" i="14"/>
  <c r="I13" i="14"/>
  <c r="J13" i="14"/>
  <c r="K13" i="14"/>
  <c r="L13" i="14"/>
  <c r="M13" i="14"/>
  <c r="N13" i="14"/>
  <c r="O13" i="14"/>
  <c r="E14" i="14"/>
  <c r="F14" i="14"/>
  <c r="G14" i="14"/>
  <c r="H14" i="14"/>
  <c r="I14" i="14"/>
  <c r="J14" i="14"/>
  <c r="K14" i="14"/>
  <c r="L14" i="14"/>
  <c r="M14" i="14"/>
  <c r="N14" i="14"/>
  <c r="O14" i="14"/>
  <c r="E15" i="14"/>
  <c r="F15" i="14"/>
  <c r="G15" i="14"/>
  <c r="H15" i="14"/>
  <c r="I15" i="14"/>
  <c r="J15" i="14"/>
  <c r="K15" i="14"/>
  <c r="L15" i="14"/>
  <c r="M15" i="14"/>
  <c r="N15" i="14"/>
  <c r="O15" i="14"/>
  <c r="E16" i="14"/>
  <c r="F16" i="14"/>
  <c r="G16" i="14"/>
  <c r="H16" i="14"/>
  <c r="I16" i="14"/>
  <c r="J16" i="14"/>
  <c r="K16" i="14"/>
  <c r="L16" i="14"/>
  <c r="M16" i="14"/>
  <c r="N16" i="14"/>
  <c r="O16" i="14"/>
  <c r="E7" i="14"/>
  <c r="O7" i="14"/>
  <c r="N7" i="14"/>
  <c r="M7" i="14"/>
  <c r="L7" i="14"/>
  <c r="K7" i="14"/>
  <c r="J7" i="14"/>
  <c r="I7" i="14"/>
  <c r="H7" i="14"/>
  <c r="G7" i="14"/>
  <c r="F7" i="14"/>
  <c r="Y9" i="14"/>
  <c r="Y10" i="14"/>
  <c r="Y11" i="14"/>
  <c r="Y12" i="14"/>
  <c r="Y13" i="14"/>
  <c r="Y14" i="14"/>
  <c r="Y15" i="14"/>
  <c r="Y16" i="14"/>
  <c r="Y17" i="14"/>
  <c r="Y8" i="14"/>
  <c r="Y7" i="14"/>
  <c r="X9" i="14"/>
  <c r="X10" i="14"/>
  <c r="X11" i="14"/>
  <c r="X12" i="14"/>
  <c r="X13" i="14"/>
  <c r="X14" i="14"/>
  <c r="X15" i="14"/>
  <c r="X16" i="14"/>
  <c r="X17" i="14"/>
  <c r="X8" i="14"/>
  <c r="X7" i="14"/>
  <c r="W9" i="14"/>
  <c r="W10" i="14"/>
  <c r="W11" i="14"/>
  <c r="W12" i="14"/>
  <c r="W13" i="14"/>
  <c r="W14" i="14"/>
  <c r="W15" i="14"/>
  <c r="W16" i="14"/>
  <c r="W17" i="14"/>
  <c r="W8" i="14"/>
  <c r="W7" i="14"/>
  <c r="V9" i="14"/>
  <c r="V10" i="14"/>
  <c r="V11" i="14"/>
  <c r="V12" i="14"/>
  <c r="V13" i="14"/>
  <c r="V14" i="14"/>
  <c r="V15" i="14"/>
  <c r="V16" i="14"/>
  <c r="V17" i="14"/>
  <c r="V8" i="14"/>
  <c r="V7" i="14"/>
  <c r="U9" i="14"/>
  <c r="U10" i="14"/>
  <c r="U11" i="14"/>
  <c r="U12" i="14"/>
  <c r="U13" i="14"/>
  <c r="U14" i="14"/>
  <c r="U15" i="14"/>
  <c r="U16" i="14"/>
  <c r="U17" i="14"/>
  <c r="U8" i="14"/>
  <c r="U7" i="14"/>
  <c r="T9" i="14"/>
  <c r="T10" i="14"/>
  <c r="T11" i="14"/>
  <c r="T12" i="14"/>
  <c r="T13" i="14"/>
  <c r="T14" i="14"/>
  <c r="T15" i="14"/>
  <c r="T16" i="14"/>
  <c r="T17" i="14"/>
  <c r="T8" i="14"/>
  <c r="T7" i="14"/>
  <c r="S7" i="14"/>
  <c r="S8" i="14"/>
  <c r="S9" i="14"/>
  <c r="S10" i="14"/>
  <c r="S11" i="14"/>
  <c r="S12" i="14"/>
  <c r="S13" i="14"/>
  <c r="S14" i="14"/>
  <c r="S15" i="14"/>
  <c r="S16" i="14"/>
  <c r="S17" i="14"/>
  <c r="J21" i="13" l="1"/>
  <c r="F21" i="13"/>
  <c r="C19" i="13"/>
  <c r="E13" i="13"/>
  <c r="E8" i="13"/>
  <c r="I6" i="13"/>
  <c r="I8" i="13" s="1"/>
  <c r="I9" i="13" s="1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O20" i="12"/>
  <c r="N20" i="12"/>
  <c r="O19" i="12"/>
  <c r="N19" i="12"/>
  <c r="C19" i="12"/>
  <c r="O18" i="12"/>
  <c r="N18" i="12"/>
  <c r="O17" i="12"/>
  <c r="N17" i="12"/>
  <c r="O16" i="12"/>
  <c r="N16" i="12"/>
  <c r="O15" i="12"/>
  <c r="N15" i="12"/>
  <c r="O14" i="12"/>
  <c r="N14" i="12"/>
  <c r="E14" i="12"/>
  <c r="E12" i="12" s="1"/>
  <c r="E38" i="12" s="1"/>
  <c r="O13" i="12"/>
  <c r="N13" i="12"/>
  <c r="O12" i="12"/>
  <c r="N12" i="12"/>
  <c r="O11" i="12"/>
  <c r="N11" i="12"/>
  <c r="O10" i="12"/>
  <c r="N10" i="12"/>
  <c r="O9" i="12"/>
  <c r="N9" i="12"/>
  <c r="E9" i="13" l="1"/>
  <c r="K30" i="12"/>
  <c r="K39" i="12"/>
  <c r="K10" i="12"/>
  <c r="K25" i="12"/>
  <c r="K26" i="12"/>
  <c r="I27" i="12"/>
  <c r="F37" i="12"/>
  <c r="K43" i="12"/>
  <c r="I23" i="12"/>
  <c r="K29" i="12"/>
  <c r="I31" i="12"/>
  <c r="K47" i="12"/>
  <c r="K11" i="12"/>
  <c r="I26" i="12"/>
  <c r="F27" i="12"/>
  <c r="F28" i="12"/>
  <c r="K40" i="12"/>
  <c r="K13" i="12"/>
  <c r="E16" i="12"/>
  <c r="F23" i="12"/>
  <c r="F24" i="12"/>
  <c r="I30" i="12"/>
  <c r="F31" i="12"/>
  <c r="F32" i="12"/>
  <c r="K37" i="12"/>
  <c r="K44" i="12"/>
  <c r="K9" i="12"/>
  <c r="K23" i="12"/>
  <c r="I24" i="12"/>
  <c r="F25" i="12"/>
  <c r="K27" i="12"/>
  <c r="I28" i="12"/>
  <c r="F29" i="12"/>
  <c r="K31" i="12"/>
  <c r="I32" i="12"/>
  <c r="F36" i="12"/>
  <c r="F38" i="12"/>
  <c r="K41" i="12"/>
  <c r="K45" i="12"/>
  <c r="E13" i="12"/>
  <c r="J9" i="12" s="1"/>
  <c r="K24" i="12"/>
  <c r="I25" i="12"/>
  <c r="F26" i="12"/>
  <c r="K28" i="12"/>
  <c r="I29" i="12"/>
  <c r="F30" i="12"/>
  <c r="K32" i="12"/>
  <c r="K36" i="12"/>
  <c r="K38" i="12"/>
  <c r="K42" i="12"/>
  <c r="K46" i="12"/>
  <c r="K14" i="12"/>
  <c r="K15" i="12"/>
  <c r="F16" i="12"/>
  <c r="G23" i="12"/>
  <c r="G24" i="12"/>
  <c r="G25" i="12"/>
  <c r="G26" i="12"/>
  <c r="G27" i="12"/>
  <c r="G28" i="12"/>
  <c r="G29" i="12"/>
  <c r="G30" i="12"/>
  <c r="G31" i="12"/>
  <c r="G32" i="12"/>
  <c r="K12" i="12"/>
  <c r="K16" i="12"/>
  <c r="K17" i="12"/>
  <c r="K18" i="12"/>
  <c r="E23" i="12"/>
  <c r="J23" i="12"/>
  <c r="E24" i="12"/>
  <c r="J24" i="12"/>
  <c r="E25" i="12"/>
  <c r="J25" i="12"/>
  <c r="E26" i="12"/>
  <c r="J26" i="12"/>
  <c r="E27" i="12"/>
  <c r="J27" i="12"/>
  <c r="E28" i="12"/>
  <c r="J28" i="12"/>
  <c r="E29" i="12"/>
  <c r="J29" i="12"/>
  <c r="E30" i="12"/>
  <c r="J30" i="12"/>
  <c r="E31" i="12"/>
  <c r="J31" i="12"/>
  <c r="E32" i="12"/>
  <c r="J32" i="12"/>
  <c r="E36" i="12"/>
  <c r="E37" i="12"/>
  <c r="L16" i="4"/>
  <c r="L17" i="4" s="1"/>
  <c r="K16" i="4"/>
  <c r="K17" i="4" s="1"/>
  <c r="J16" i="4"/>
  <c r="J17" i="4" s="1"/>
  <c r="I16" i="4"/>
  <c r="I17" i="4" s="1"/>
  <c r="H16" i="4"/>
  <c r="H17" i="4" s="1"/>
  <c r="G16" i="4"/>
  <c r="G17" i="4" s="1"/>
  <c r="F16" i="4"/>
  <c r="F17" i="4" s="1"/>
  <c r="E16" i="4"/>
  <c r="E17" i="4" s="1"/>
  <c r="D16" i="4"/>
  <c r="D17" i="4" s="1"/>
  <c r="C16" i="4"/>
  <c r="C17" i="4" s="1"/>
  <c r="J14" i="12" l="1"/>
  <c r="J43" i="12"/>
  <c r="J15" i="12"/>
  <c r="O30" i="13"/>
  <c r="O29" i="13"/>
  <c r="O28" i="13"/>
  <c r="O27" i="13"/>
  <c r="O26" i="13"/>
  <c r="O25" i="13"/>
  <c r="O24" i="13"/>
  <c r="O23" i="13"/>
  <c r="O22" i="13"/>
  <c r="O21" i="13"/>
  <c r="O20" i="13"/>
  <c r="O17" i="13"/>
  <c r="N16" i="13"/>
  <c r="N15" i="13"/>
  <c r="N14" i="13"/>
  <c r="O12" i="13"/>
  <c r="N11" i="13"/>
  <c r="O9" i="13"/>
  <c r="O8" i="13"/>
  <c r="O7" i="13"/>
  <c r="N30" i="13"/>
  <c r="N29" i="13"/>
  <c r="N28" i="13"/>
  <c r="N27" i="13"/>
  <c r="N26" i="13"/>
  <c r="N25" i="13"/>
  <c r="N24" i="13"/>
  <c r="N23" i="13"/>
  <c r="N22" i="13"/>
  <c r="N21" i="13"/>
  <c r="N20" i="13"/>
  <c r="N17" i="13"/>
  <c r="O13" i="13"/>
  <c r="N12" i="13"/>
  <c r="E11" i="13"/>
  <c r="N9" i="13"/>
  <c r="N8" i="13"/>
  <c r="N7" i="13"/>
  <c r="O19" i="13"/>
  <c r="O18" i="13"/>
  <c r="N13" i="13"/>
  <c r="O10" i="13"/>
  <c r="N19" i="13"/>
  <c r="N18" i="13"/>
  <c r="O16" i="13"/>
  <c r="O15" i="13"/>
  <c r="O14" i="13"/>
  <c r="O11" i="13"/>
  <c r="N10" i="13"/>
  <c r="J40" i="12"/>
  <c r="J38" i="12"/>
  <c r="J13" i="12"/>
  <c r="J41" i="12"/>
  <c r="J16" i="12"/>
  <c r="J46" i="12"/>
  <c r="J11" i="12"/>
  <c r="J10" i="12"/>
  <c r="J39" i="12"/>
  <c r="J18" i="12"/>
  <c r="J44" i="12"/>
  <c r="J37" i="12"/>
  <c r="J45" i="12"/>
  <c r="J17" i="12"/>
  <c r="J42" i="12"/>
  <c r="J36" i="12"/>
  <c r="J47" i="12"/>
  <c r="J12" i="12"/>
  <c r="L18" i="4"/>
  <c r="L19" i="4" s="1"/>
  <c r="F50" i="13" l="1"/>
  <c r="F48" i="13"/>
  <c r="F47" i="13"/>
  <c r="F46" i="13"/>
  <c r="F45" i="13"/>
  <c r="F44" i="13"/>
  <c r="F43" i="13"/>
  <c r="F42" i="13"/>
  <c r="K40" i="13"/>
  <c r="K38" i="13"/>
  <c r="K37" i="13"/>
  <c r="K36" i="13"/>
  <c r="I32" i="13"/>
  <c r="I31" i="13"/>
  <c r="I30" i="13"/>
  <c r="I29" i="13"/>
  <c r="I28" i="13"/>
  <c r="I27" i="13"/>
  <c r="I26" i="13"/>
  <c r="I25" i="13"/>
  <c r="I24" i="13"/>
  <c r="I23" i="13"/>
  <c r="G32" i="13"/>
  <c r="G31" i="13"/>
  <c r="G30" i="13"/>
  <c r="G29" i="13"/>
  <c r="G28" i="13"/>
  <c r="G27" i="13"/>
  <c r="G26" i="13"/>
  <c r="G25" i="13"/>
  <c r="G24" i="13"/>
  <c r="G23" i="13"/>
  <c r="F49" i="13"/>
  <c r="K47" i="13"/>
  <c r="K46" i="13"/>
  <c r="K45" i="13"/>
  <c r="K44" i="13"/>
  <c r="K43" i="13"/>
  <c r="K42" i="13"/>
  <c r="K41" i="13"/>
  <c r="K39" i="13"/>
  <c r="F38" i="13"/>
  <c r="F37" i="13"/>
  <c r="F36" i="13"/>
  <c r="K32" i="13"/>
  <c r="F32" i="13"/>
  <c r="K31" i="13"/>
  <c r="F31" i="13"/>
  <c r="K30" i="13"/>
  <c r="F30" i="13"/>
  <c r="K29" i="13"/>
  <c r="F29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E15" i="13"/>
  <c r="E12" i="13"/>
  <c r="E38" i="13"/>
  <c r="E37" i="13"/>
  <c r="E36" i="13"/>
  <c r="J32" i="13"/>
  <c r="E32" i="13"/>
  <c r="J31" i="13"/>
  <c r="E31" i="13"/>
  <c r="J30" i="13"/>
  <c r="E30" i="13"/>
  <c r="J29" i="13"/>
  <c r="E29" i="13"/>
  <c r="J28" i="13"/>
  <c r="E28" i="13"/>
  <c r="J27" i="13"/>
  <c r="E27" i="13"/>
  <c r="J26" i="13"/>
  <c r="E26" i="13"/>
  <c r="J25" i="13"/>
  <c r="E25" i="13"/>
  <c r="J24" i="13"/>
  <c r="E24" i="13"/>
  <c r="J23" i="13"/>
  <c r="E23" i="13"/>
  <c r="F15" i="13"/>
  <c r="E50" i="13" l="1"/>
  <c r="E48" i="13"/>
  <c r="E47" i="13"/>
  <c r="E46" i="13"/>
  <c r="E45" i="13"/>
  <c r="E44" i="13"/>
  <c r="E43" i="13"/>
  <c r="E42" i="13"/>
  <c r="J40" i="13"/>
  <c r="J38" i="13"/>
  <c r="J37" i="13"/>
  <c r="J36" i="13"/>
  <c r="E16" i="13"/>
  <c r="E49" i="13"/>
  <c r="J47" i="13"/>
  <c r="J46" i="13"/>
  <c r="J45" i="13"/>
  <c r="J44" i="13"/>
  <c r="J43" i="13"/>
  <c r="J42" i="13"/>
  <c r="J41" i="13"/>
  <c r="J39" i="13"/>
  <c r="F16" i="13"/>
  <c r="F20" i="7"/>
  <c r="B55" i="8" l="1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F11" i="5" l="1"/>
  <c r="G11" i="5" s="1"/>
  <c r="H10" i="5"/>
  <c r="E10" i="5"/>
  <c r="F10" i="5" s="1"/>
  <c r="E8" i="5"/>
  <c r="F8" i="5" s="1"/>
  <c r="G8" i="5" s="1"/>
  <c r="H8" i="5" s="1"/>
  <c r="E7" i="5"/>
  <c r="F7" i="5" s="1"/>
  <c r="G7" i="5" s="1"/>
  <c r="H7" i="5" s="1"/>
  <c r="R32" i="6" l="1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7" i="6"/>
  <c r="Q27" i="6"/>
  <c r="P27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R21" i="6"/>
  <c r="Q21" i="6"/>
  <c r="P21" i="6"/>
  <c r="R16" i="6"/>
  <c r="Q16" i="6"/>
  <c r="P16" i="6"/>
  <c r="R15" i="6"/>
  <c r="Q15" i="6"/>
  <c r="P15" i="6"/>
  <c r="R14" i="6"/>
  <c r="Q14" i="6"/>
  <c r="P14" i="6"/>
  <c r="R13" i="6"/>
  <c r="Q13" i="6"/>
  <c r="P13" i="6"/>
  <c r="R12" i="6"/>
  <c r="Q12" i="6"/>
  <c r="P12" i="6"/>
  <c r="R11" i="6"/>
  <c r="Q11" i="6"/>
  <c r="P11" i="6"/>
  <c r="R10" i="6"/>
  <c r="Q10" i="6"/>
  <c r="P10" i="6"/>
  <c r="R9" i="6"/>
  <c r="Q9" i="6"/>
  <c r="P9" i="6"/>
  <c r="R8" i="6"/>
  <c r="Q8" i="6"/>
  <c r="P8" i="6"/>
  <c r="R7" i="6"/>
  <c r="Q7" i="6"/>
  <c r="P7" i="6"/>
  <c r="R6" i="6"/>
  <c r="Q6" i="6"/>
  <c r="P6" i="6"/>
  <c r="R5" i="6"/>
  <c r="Q5" i="6"/>
  <c r="P5" i="6"/>
  <c r="E25" i="2" l="1"/>
  <c r="E21" i="2"/>
  <c r="E17" i="2"/>
  <c r="E13" i="2"/>
</calcChain>
</file>

<file path=xl/sharedStrings.xml><?xml version="1.0" encoding="utf-8"?>
<sst xmlns="http://schemas.openxmlformats.org/spreadsheetml/2006/main" count="1006" uniqueCount="347">
  <si>
    <t>C = Coeficiente de expansão termica</t>
  </si>
  <si>
    <t>metros</t>
  </si>
  <si>
    <t>oC</t>
  </si>
  <si>
    <t>e = Expansão Termica</t>
  </si>
  <si>
    <t>mm</t>
  </si>
  <si>
    <t>mm/oC.m</t>
  </si>
  <si>
    <t>CPVC</t>
  </si>
  <si>
    <t>PVC - U</t>
  </si>
  <si>
    <t>PPR</t>
  </si>
  <si>
    <t>PBS</t>
  </si>
  <si>
    <t>L</t>
  </si>
  <si>
    <t>Comprimento Inicial</t>
  </si>
  <si>
    <t>Ti</t>
  </si>
  <si>
    <t>Temperatura Inicial</t>
  </si>
  <si>
    <t>Tf</t>
  </si>
  <si>
    <t>Temperatura Final</t>
  </si>
  <si>
    <t>e = L * C * (Tf-Ti)</t>
  </si>
  <si>
    <t>Tabela de Resistência Química</t>
  </si>
  <si>
    <t xml:space="preserve">CPVC </t>
  </si>
  <si>
    <t>PTFE</t>
  </si>
  <si>
    <t>EPDM</t>
  </si>
  <si>
    <t>20 0C</t>
  </si>
  <si>
    <t>60 oC</t>
  </si>
  <si>
    <t>Ácido Clorídrico10% (HCl)</t>
  </si>
  <si>
    <t>A</t>
  </si>
  <si>
    <t>Ácido Clorídrico 20% (HCl)</t>
  </si>
  <si>
    <t>A**</t>
  </si>
  <si>
    <t>Ácido Clorídrico 22% (HCl)</t>
  </si>
  <si>
    <t>Ácido Clorídrico 37% (HCl)</t>
  </si>
  <si>
    <t>Ácido Clorídrico Gás seco (HCl)</t>
  </si>
  <si>
    <t>Ácido Clorídrico 100% (HCl)</t>
  </si>
  <si>
    <t>Ácido Sulfurico &lt; 75% (H2SO4)</t>
  </si>
  <si>
    <t>A*</t>
  </si>
  <si>
    <t>Ácido Sulfurico &lt; 95% (H2SO4)</t>
  </si>
  <si>
    <t>I</t>
  </si>
  <si>
    <t>Ácido Sulfurico &gt;= 95% (H2SO4)</t>
  </si>
  <si>
    <t>C</t>
  </si>
  <si>
    <t>Ácido Sulfurico &gt;= 98% (H2SO4)</t>
  </si>
  <si>
    <t>Soda Cáustica (NaOH) 15%</t>
  </si>
  <si>
    <t>Soda Cáustica (NaOH) 30%</t>
  </si>
  <si>
    <t xml:space="preserve">A </t>
  </si>
  <si>
    <t>Soda Cáustica (NaOH) 50%</t>
  </si>
  <si>
    <t>Soda Cáustica (NaOH) 80%</t>
  </si>
  <si>
    <t>Soda Cáustica (NaOH) 100%</t>
  </si>
  <si>
    <t>Sem Efeito</t>
  </si>
  <si>
    <t>Efeito Moderado</t>
  </si>
  <si>
    <t>Efeito Grave</t>
  </si>
  <si>
    <t>**  Até 48 oC</t>
  </si>
  <si>
    <t>*  Sem concentração de tensões</t>
  </si>
  <si>
    <t>125#  &amp;  150#</t>
  </si>
  <si>
    <t>Unidade</t>
  </si>
  <si>
    <t>Total</t>
  </si>
  <si>
    <t>Num Furos</t>
  </si>
  <si>
    <t>Diam. Furo</t>
  </si>
  <si>
    <t>Parafuso</t>
  </si>
  <si>
    <t>Qde</t>
  </si>
  <si>
    <t>Flange</t>
  </si>
  <si>
    <t>Parafusos</t>
  </si>
  <si>
    <t xml:space="preserve">Porcas </t>
  </si>
  <si>
    <t>Arruelas</t>
  </si>
  <si>
    <t>1/2"</t>
  </si>
  <si>
    <t>5/8"</t>
  </si>
  <si>
    <t>1/2" x 2 "</t>
  </si>
  <si>
    <t>3/4"</t>
  </si>
  <si>
    <t>1/2"x  2.1/4"</t>
  </si>
  <si>
    <t>1"</t>
  </si>
  <si>
    <t>1.1/4"</t>
  </si>
  <si>
    <t>1/2"x  2.1/2"</t>
  </si>
  <si>
    <t>1.1/2"</t>
  </si>
  <si>
    <t>2"</t>
  </si>
  <si>
    <t>5/8" x 2.3/4"</t>
  </si>
  <si>
    <t>2.1/2"</t>
  </si>
  <si>
    <t>5/8" x 3"</t>
  </si>
  <si>
    <t>3"</t>
  </si>
  <si>
    <t>5/8" x 3.1/4"</t>
  </si>
  <si>
    <t>4"</t>
  </si>
  <si>
    <t>5"</t>
  </si>
  <si>
    <t>7/8"</t>
  </si>
  <si>
    <t>6"</t>
  </si>
  <si>
    <t>3/4"  x 1/2"</t>
  </si>
  <si>
    <t>8"</t>
  </si>
  <si>
    <t>3/4"  x 3/4"</t>
  </si>
  <si>
    <t>250#  &amp;  300#</t>
  </si>
  <si>
    <t>1/2" x 2.1/4"</t>
  </si>
  <si>
    <t>5/8" x 2.1/2"</t>
  </si>
  <si>
    <t>3/4 x 3"</t>
  </si>
  <si>
    <t>3/4" x 3.1/2"</t>
  </si>
  <si>
    <t>3/4" x 3.3/4"</t>
  </si>
  <si>
    <t>3/4" x 4"</t>
  </si>
  <si>
    <t>3/4" x 4.1/4"</t>
  </si>
  <si>
    <t>7/8" x 4.3/4"</t>
  </si>
  <si>
    <t>Diâmetro Tubo</t>
  </si>
  <si>
    <t>inch</t>
  </si>
  <si>
    <t>c/ 1 Lata (473 ml)</t>
  </si>
  <si>
    <t xml:space="preserve">Num de Juntas </t>
  </si>
  <si>
    <t>Cálculo de Consumo de Adesivo</t>
  </si>
  <si>
    <t>Tubo</t>
  </si>
  <si>
    <t>gramas / Junta</t>
  </si>
  <si>
    <t>CPVC  e   PVC - U sch 80</t>
  </si>
  <si>
    <t>Temperatura   oC</t>
  </si>
  <si>
    <t>Perda de carga em metros/100m para Tubos Galvanizados e de Ferro Fundido</t>
  </si>
  <si>
    <t>Bitola (Pol)</t>
  </si>
  <si>
    <t>1.1/4</t>
  </si>
  <si>
    <t>10"</t>
  </si>
  <si>
    <t>12"</t>
  </si>
  <si>
    <t>Diâm. Int.  Aço (mm)</t>
  </si>
  <si>
    <t>Vazão (l/s)</t>
  </si>
  <si>
    <t>Vazão (m³/h)</t>
  </si>
  <si>
    <t>Tubos PCVC   e   PVC-U</t>
  </si>
  <si>
    <t>Diam.</t>
  </si>
  <si>
    <t>DE</t>
  </si>
  <si>
    <t>e</t>
  </si>
  <si>
    <t>DI</t>
  </si>
  <si>
    <t>Perda de carga em metros/100m para Tubos PVC-U</t>
  </si>
  <si>
    <t>Diâm. Int.  CPVC  PVCU (mm)</t>
  </si>
  <si>
    <t>Velocidade m/s</t>
  </si>
  <si>
    <t>Interpolação</t>
  </si>
  <si>
    <t>x</t>
  </si>
  <si>
    <t>x =</t>
  </si>
  <si>
    <t xml:space="preserve">Aço </t>
  </si>
  <si>
    <t>PVC-U</t>
  </si>
  <si>
    <t xml:space="preserve">Tempetura  Fluido interno oF </t>
  </si>
  <si>
    <t xml:space="preserve">Tempetura Parede Tubo         oF </t>
  </si>
  <si>
    <t>Aço</t>
  </si>
  <si>
    <t>CPVC / PVC-U</t>
  </si>
  <si>
    <t>sch 40</t>
  </si>
  <si>
    <t>PPR azul</t>
  </si>
  <si>
    <t>PPR PN 12,5</t>
  </si>
  <si>
    <t>PPR PN 25</t>
  </si>
  <si>
    <t>Resistência Química</t>
  </si>
  <si>
    <t>Voltar</t>
  </si>
  <si>
    <t>Índice</t>
  </si>
  <si>
    <t>Consumo de Adesivo</t>
  </si>
  <si>
    <t>Distância dos Suportes</t>
  </si>
  <si>
    <t>Parafusos e Porcas p/ Flanges</t>
  </si>
  <si>
    <t>Perda de Carga PVC-U x Aço</t>
  </si>
  <si>
    <t>Perda de Carga Tobos Aço</t>
  </si>
  <si>
    <t>Dimensões tubos PVC-U e CPVC</t>
  </si>
  <si>
    <t>Condutividade Térmica</t>
  </si>
  <si>
    <t>Peso  dos Tubos</t>
  </si>
  <si>
    <t>Consumo de Adesivo / Prime de acordo com número de acessórios na linha CPVC e PVC-U</t>
  </si>
  <si>
    <t>Acessórios</t>
  </si>
  <si>
    <t>Luva</t>
  </si>
  <si>
    <t>Luva L/R</t>
  </si>
  <si>
    <t>Joelhos 45o e 90o</t>
  </si>
  <si>
    <t>Te</t>
  </si>
  <si>
    <t>Adaptador</t>
  </si>
  <si>
    <t>Bucha de Redução</t>
  </si>
  <si>
    <t>Cap</t>
  </si>
  <si>
    <t>Flanges</t>
  </si>
  <si>
    <t>Válvulas</t>
  </si>
  <si>
    <t>União</t>
  </si>
  <si>
    <t>Latas Adesivo</t>
  </si>
  <si>
    <t>Latas Prime</t>
  </si>
  <si>
    <t>Cálculo de Consumo de Primer</t>
  </si>
  <si>
    <t>Total de Juntas</t>
  </si>
  <si>
    <r>
      <rPr>
        <b/>
        <sz val="11"/>
        <color theme="1"/>
        <rFont val="Calibri"/>
        <family val="2"/>
        <scheme val="minor"/>
      </rPr>
      <t>Junta:</t>
    </r>
    <r>
      <rPr>
        <sz val="11"/>
        <color theme="1"/>
        <rFont val="Calibri"/>
        <family val="2"/>
        <scheme val="minor"/>
      </rPr>
      <t xml:space="preserve">  é considerado um união entre duas partes (Bolsa /Tubo).  Ex Cap = 1 junta;  Luva = 2 juntas;  Te = 3 juntas)</t>
    </r>
  </si>
  <si>
    <t>Obs.: entre com as quantidades nos espaços em branco  de acordo com o diâmetro e obtenha Qde de latas Prime  e  Adesivo</t>
  </si>
  <si>
    <t>Dimens. Válvulas Vapor</t>
  </si>
  <si>
    <t>Dimens. Válvulas Ar Comp</t>
  </si>
  <si>
    <t>DIMENSIONAL PARA VÁLVULAS - APLICAÇÃO VAPOR</t>
  </si>
  <si>
    <t>DADOS DE PROCESSO</t>
  </si>
  <si>
    <t>Linha KE/LE</t>
  </si>
  <si>
    <t>Velocidade (m/s) - Sh 40</t>
  </si>
  <si>
    <t>Pressão de entrada</t>
  </si>
  <si>
    <t>bar g</t>
  </si>
  <si>
    <t>Bitola</t>
  </si>
  <si>
    <t>KVs</t>
  </si>
  <si>
    <t>Cap.</t>
  </si>
  <si>
    <t>Qmáx 100%</t>
  </si>
  <si>
    <t>Montante</t>
  </si>
  <si>
    <t>Jusante</t>
  </si>
  <si>
    <t>Pressão de saída</t>
  </si>
  <si>
    <t>1/8"</t>
  </si>
  <si>
    <t>Vazão</t>
  </si>
  <si>
    <t>kg/h</t>
  </si>
  <si>
    <t>1/4"</t>
  </si>
  <si>
    <t>Título do vapor</t>
  </si>
  <si>
    <t>Cv do processo</t>
  </si>
  <si>
    <t>Kv do processo</t>
  </si>
  <si>
    <t>Fluxo</t>
  </si>
  <si>
    <t>Capacid.</t>
  </si>
  <si>
    <t>Qmáx.</t>
  </si>
  <si>
    <t>CVs</t>
  </si>
  <si>
    <t>3.1/2"</t>
  </si>
  <si>
    <t>Sede normal</t>
  </si>
  <si>
    <t>Sede reduzida</t>
  </si>
  <si>
    <t>Abertura</t>
  </si>
  <si>
    <t>Vazão (kg/h)</t>
  </si>
  <si>
    <t>Mínima</t>
  </si>
  <si>
    <t>Máxima</t>
  </si>
  <si>
    <t>14"</t>
  </si>
  <si>
    <t>16"</t>
  </si>
  <si>
    <t>18"</t>
  </si>
  <si>
    <t>20"</t>
  </si>
  <si>
    <t>24"</t>
  </si>
  <si>
    <t>32"</t>
  </si>
  <si>
    <t>34"</t>
  </si>
  <si>
    <t>Ação direta BRV2S</t>
  </si>
  <si>
    <t>Globo BSA</t>
  </si>
  <si>
    <t>Qmáx</t>
  </si>
  <si>
    <t>kgf/cm2 g</t>
  </si>
  <si>
    <t>m3</t>
  </si>
  <si>
    <t>/</t>
  </si>
  <si>
    <t>min</t>
  </si>
  <si>
    <t>Temperatura</t>
  </si>
  <si>
    <t>ºC</t>
  </si>
  <si>
    <t>Vazão normal</t>
  </si>
  <si>
    <t>N m3/min</t>
  </si>
  <si>
    <t>N m3/h</t>
  </si>
  <si>
    <t>Outra válvula</t>
  </si>
  <si>
    <t>Capaci.</t>
  </si>
  <si>
    <t>Qmáx. (N m3/min)</t>
  </si>
  <si>
    <t>KV s</t>
  </si>
  <si>
    <t>BITOLA</t>
  </si>
  <si>
    <t>SEDE NORMAL</t>
  </si>
  <si>
    <t>SEDE REDUZIDA</t>
  </si>
  <si>
    <t>DIMENSIONAL PARA VÁLVULAS - APLICAÇÃO  AR COMPRIMIDO</t>
  </si>
  <si>
    <t>200 mm</t>
  </si>
  <si>
    <t>60 mm</t>
  </si>
  <si>
    <t>75 mm</t>
  </si>
  <si>
    <t>85 mm</t>
  </si>
  <si>
    <t>110 mm</t>
  </si>
  <si>
    <t xml:space="preserve">160 mm </t>
  </si>
  <si>
    <t xml:space="preserve">PVC - U </t>
  </si>
  <si>
    <t>20oC</t>
  </si>
  <si>
    <t>23oC</t>
  </si>
  <si>
    <t>27oC</t>
  </si>
  <si>
    <t>32oC</t>
  </si>
  <si>
    <t>38oC</t>
  </si>
  <si>
    <t>43oC</t>
  </si>
  <si>
    <t>49oC</t>
  </si>
  <si>
    <t>54oC</t>
  </si>
  <si>
    <t>60oC</t>
  </si>
  <si>
    <t>66oC</t>
  </si>
  <si>
    <t>71oC</t>
  </si>
  <si>
    <t>77oC</t>
  </si>
  <si>
    <t>80oC</t>
  </si>
  <si>
    <t>Ano</t>
  </si>
  <si>
    <t>10oC</t>
  </si>
  <si>
    <t>30oC</t>
  </si>
  <si>
    <t>40oC</t>
  </si>
  <si>
    <t>50oC</t>
  </si>
  <si>
    <t>70oC</t>
  </si>
  <si>
    <t>95oC</t>
  </si>
  <si>
    <t xml:space="preserve"> </t>
  </si>
  <si>
    <t>Pressão x Temperatura</t>
  </si>
  <si>
    <t>PVC Marrom  PBS</t>
  </si>
  <si>
    <t>Classe</t>
  </si>
  <si>
    <t>25oC</t>
  </si>
  <si>
    <t>25oC a 35oC</t>
  </si>
  <si>
    <t>35oC  a 45oC</t>
  </si>
  <si>
    <t>45oC a 60oC</t>
  </si>
  <si>
    <t>Pressão Máxima de Trabalho  ( kgf/cm2)        x       Temperatura (oC)</t>
  </si>
  <si>
    <t>NBR 5580 L Preto</t>
  </si>
  <si>
    <t>NBR 5580 L Galv.</t>
  </si>
  <si>
    <t>NBR 5580 M Preto</t>
  </si>
  <si>
    <t>NBR 5580 M Galv.</t>
  </si>
  <si>
    <t>125 mm</t>
  </si>
  <si>
    <t>Expansão Térmica</t>
  </si>
  <si>
    <t>Cálculo de Expansão Térmica de Tubulações</t>
  </si>
  <si>
    <t>Distâncias máximas entre Apoios  -  Tubos CPVC e PVC-U</t>
  </si>
  <si>
    <t>Distâncias máximas entre Apoios  -  Tubos PPR</t>
  </si>
  <si>
    <t>Condutividade Térmica                ( W/m oK)</t>
  </si>
  <si>
    <t>Temperatura Parede Tubo         oC</t>
  </si>
  <si>
    <t>Temperatura  Fluido interno oC</t>
  </si>
  <si>
    <t>Água</t>
  </si>
  <si>
    <t>Peso em kg  de água em 1 metro de  tubo cheio</t>
  </si>
  <si>
    <r>
      <t xml:space="preserve">NBR </t>
    </r>
    <r>
      <rPr>
        <b/>
        <sz val="9"/>
        <color theme="1"/>
        <rFont val="Calibri"/>
        <family val="2"/>
        <scheme val="minor"/>
      </rPr>
      <t>5580</t>
    </r>
    <r>
      <rPr>
        <b/>
        <sz val="10"/>
        <color theme="1"/>
        <rFont val="Calibri"/>
        <family val="2"/>
        <scheme val="minor"/>
      </rPr>
      <t xml:space="preserve"> L </t>
    </r>
    <r>
      <rPr>
        <b/>
        <sz val="9"/>
        <color theme="1"/>
        <rFont val="Calibri"/>
        <family val="2"/>
        <scheme val="minor"/>
      </rPr>
      <t>Preto</t>
    </r>
  </si>
  <si>
    <t>PPR PN 20</t>
  </si>
  <si>
    <t>PBS Cl. 12</t>
  </si>
  <si>
    <t>PBS Cl. 15</t>
  </si>
  <si>
    <t>PBS Cl. 20</t>
  </si>
  <si>
    <t>Peso em kg das Tubulações por metro</t>
  </si>
  <si>
    <t>Tubo + Água</t>
  </si>
  <si>
    <t>Peso em kg  das Tubulações  Cheias de Água  por metro</t>
  </si>
  <si>
    <r>
      <t xml:space="preserve">NBR </t>
    </r>
    <r>
      <rPr>
        <b/>
        <sz val="10"/>
        <color theme="1"/>
        <rFont val="Calibri"/>
        <family val="2"/>
        <scheme val="minor"/>
      </rPr>
      <t>5580 L Preto</t>
    </r>
  </si>
  <si>
    <t>Área de Tubo por metro  (m2/m)</t>
  </si>
  <si>
    <t>SCH 40</t>
  </si>
  <si>
    <t>NBR 5580 L</t>
  </si>
  <si>
    <t>PPR  PN 25</t>
  </si>
  <si>
    <t>NBR 5580 M</t>
  </si>
  <si>
    <t>PPR  PN 20</t>
  </si>
  <si>
    <t>PBS 20</t>
  </si>
  <si>
    <t>PVC-U sch 80</t>
  </si>
  <si>
    <t>PPR  PN12</t>
  </si>
  <si>
    <t>PBS 15</t>
  </si>
  <si>
    <t>CPVC sch 80</t>
  </si>
  <si>
    <t>PPR  Azul</t>
  </si>
  <si>
    <t>PBS 12</t>
  </si>
  <si>
    <t>Diâmetro</t>
  </si>
  <si>
    <t>Dext</t>
  </si>
  <si>
    <t>Área</t>
  </si>
  <si>
    <t>Área dos tubos</t>
  </si>
  <si>
    <t>espessura</t>
  </si>
  <si>
    <t>Espessura</t>
  </si>
  <si>
    <t>Dimensões  dos Tubos</t>
  </si>
  <si>
    <t>1.1/2</t>
  </si>
  <si>
    <t>2.1/2</t>
  </si>
  <si>
    <t xml:space="preserve">                             CAP</t>
  </si>
  <si>
    <t xml:space="preserve">            FLANGE FÊMEA</t>
  </si>
  <si>
    <t xml:space="preserve">    FLANGE MACHO</t>
  </si>
  <si>
    <t>JOELHO 45</t>
  </si>
  <si>
    <t>JOELHO 90</t>
  </si>
  <si>
    <t>LUVA SOLDA / SOLDA</t>
  </si>
  <si>
    <t>ADAPTADOR CTO</t>
  </si>
  <si>
    <t>NIPLE ROSCA / ROSCA</t>
  </si>
  <si>
    <t>TE   SOLDA / SOLDA / SOLDA</t>
  </si>
  <si>
    <t>UNIÃO SOLDA / SOLDA</t>
  </si>
  <si>
    <t>VALVULA ESFERA SOLDA / ROSCA</t>
  </si>
  <si>
    <t>VALVULA DE RETENSÃO SOLDA / SOLDA</t>
  </si>
  <si>
    <t>ADESIVO 473 ML</t>
  </si>
  <si>
    <t>PRIMER 473 ML</t>
  </si>
  <si>
    <t>VALVULA BORBOLETA</t>
  </si>
  <si>
    <t>VALVULA RETENÇÃO WAFER</t>
  </si>
  <si>
    <t>FILTRO Y SOLDA / SOLDA</t>
  </si>
  <si>
    <t>ADAPTADOR PARA RESERVATÓRIO</t>
  </si>
  <si>
    <t>B RED</t>
  </si>
  <si>
    <r>
      <t xml:space="preserve">                  TUBO </t>
    </r>
    <r>
      <rPr>
        <sz val="11"/>
        <color rgb="FFFF0000"/>
        <rFont val="Calibri"/>
        <family val="2"/>
        <scheme val="minor"/>
      </rPr>
      <t>BR COM 6MTS</t>
    </r>
    <r>
      <rPr>
        <sz val="11"/>
        <color theme="1"/>
        <rFont val="Calibri"/>
        <family val="2"/>
        <scheme val="minor"/>
      </rPr>
      <t xml:space="preserve"> PONTA-PONTA</t>
    </r>
  </si>
  <si>
    <t>3/4 X 1/2</t>
  </si>
  <si>
    <t>1 X 1/2</t>
  </si>
  <si>
    <t>1 X 3/4</t>
  </si>
  <si>
    <t>1.1/4 X 1/2</t>
  </si>
  <si>
    <t>1.1/4 X 3/4</t>
  </si>
  <si>
    <t>1.1/2 X 1/2</t>
  </si>
  <si>
    <t>1.1/2 X 3/4</t>
  </si>
  <si>
    <t>1.1/2 X 1</t>
  </si>
  <si>
    <t>1.1/2 X 1.1/4</t>
  </si>
  <si>
    <t>2 X 1/2</t>
  </si>
  <si>
    <t>2 X 3/4</t>
  </si>
  <si>
    <t>2 X 1</t>
  </si>
  <si>
    <t>2 X 1.1/4</t>
  </si>
  <si>
    <t>2 X 1.1/2</t>
  </si>
  <si>
    <t>2.1/2 X 1</t>
  </si>
  <si>
    <t>2.1/2 X 2</t>
  </si>
  <si>
    <t>2.1/2 X 1.1/4</t>
  </si>
  <si>
    <t>2.1/2 X 1.1/2</t>
  </si>
  <si>
    <t>3 X 1</t>
  </si>
  <si>
    <t>3 X .1/4</t>
  </si>
  <si>
    <t>3 X 1.1/2</t>
  </si>
  <si>
    <t>3 X 2</t>
  </si>
  <si>
    <t>3 X 2.1/2</t>
  </si>
  <si>
    <t>4 X 2</t>
  </si>
  <si>
    <t>4 X 2.1/2</t>
  </si>
  <si>
    <t>4 X 3</t>
  </si>
  <si>
    <t>6 X 4</t>
  </si>
  <si>
    <t>8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</si>
</sst>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0,000,000,000"/>
    <numFmt numFmtId="168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Border="1"/>
    <xf numFmtId="0" fontId="0" fillId="0" borderId="19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3" borderId="15" xfId="0" quotePrefix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165" fontId="14" fillId="0" borderId="1" xfId="2" applyNumberFormat="1" applyFont="1" applyBorder="1"/>
    <xf numFmtId="0" fontId="14" fillId="5" borderId="1" xfId="0" applyFont="1" applyFill="1" applyBorder="1"/>
    <xf numFmtId="9" fontId="16" fillId="6" borderId="1" xfId="3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9" fontId="14" fillId="5" borderId="1" xfId="0" applyNumberFormat="1" applyFont="1" applyFill="1" applyBorder="1"/>
    <xf numFmtId="0" fontId="14" fillId="0" borderId="0" xfId="0" applyFont="1" applyFill="1" applyBorder="1" applyAlignment="1"/>
    <xf numFmtId="0" fontId="14" fillId="0" borderId="1" xfId="0" applyFont="1" applyBorder="1" applyAlignment="1">
      <alignment horizontal="center"/>
    </xf>
    <xf numFmtId="9" fontId="16" fillId="6" borderId="20" xfId="3" applyNumberFormat="1" applyFont="1" applyFill="1" applyBorder="1" applyAlignment="1">
      <alignment horizontal="center"/>
    </xf>
    <xf numFmtId="1" fontId="14" fillId="6" borderId="20" xfId="0" applyNumberFormat="1" applyFont="1" applyFill="1" applyBorder="1" applyAlignment="1">
      <alignment horizontal="center"/>
    </xf>
    <xf numFmtId="0" fontId="0" fillId="0" borderId="0" xfId="0" applyFill="1" applyBorder="1"/>
    <xf numFmtId="164" fontId="17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4" fillId="5" borderId="15" xfId="0" applyFont="1" applyFill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17" xfId="0" applyFont="1" applyBorder="1"/>
    <xf numFmtId="43" fontId="14" fillId="6" borderId="15" xfId="2" applyFont="1" applyFill="1" applyBorder="1"/>
    <xf numFmtId="43" fontId="15" fillId="0" borderId="0" xfId="2" applyFont="1" applyFill="1" applyBorder="1"/>
    <xf numFmtId="166" fontId="14" fillId="6" borderId="15" xfId="2" applyNumberFormat="1" applyFont="1" applyFill="1" applyBorder="1"/>
    <xf numFmtId="1" fontId="14" fillId="6" borderId="1" xfId="3" applyNumberFormat="1" applyFont="1" applyFill="1" applyBorder="1" applyAlignment="1">
      <alignment horizontal="center"/>
    </xf>
    <xf numFmtId="43" fontId="11" fillId="0" borderId="0" xfId="2" applyFill="1" applyBorder="1" applyAlignment="1">
      <alignment horizontal="center"/>
    </xf>
    <xf numFmtId="0" fontId="13" fillId="0" borderId="0" xfId="0" applyFont="1" applyFill="1"/>
    <xf numFmtId="164" fontId="1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4" fillId="0" borderId="1" xfId="2" applyNumberFormat="1" applyFont="1" applyBorder="1" applyProtection="1">
      <protection locked="0"/>
    </xf>
    <xf numFmtId="166" fontId="14" fillId="0" borderId="1" xfId="2" applyNumberFormat="1" applyFont="1" applyBorder="1" applyProtection="1">
      <protection locked="0"/>
    </xf>
    <xf numFmtId="9" fontId="14" fillId="0" borderId="1" xfId="3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165" fontId="14" fillId="0" borderId="15" xfId="2" applyNumberFormat="1" applyFont="1" applyBorder="1" applyProtection="1">
      <protection locked="0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22" xfId="0" applyFont="1" applyFill="1" applyBorder="1" applyAlignment="1"/>
    <xf numFmtId="39" fontId="14" fillId="6" borderId="1" xfId="2" applyNumberFormat="1" applyFont="1" applyFill="1" applyBorder="1" applyAlignment="1">
      <alignment horizontal="center"/>
    </xf>
    <xf numFmtId="165" fontId="16" fillId="6" borderId="1" xfId="2" applyNumberFormat="1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22" fillId="7" borderId="21" xfId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1" fillId="0" borderId="21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0" fillId="0" borderId="30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/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9" fillId="10" borderId="1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2" fontId="19" fillId="10" borderId="1" xfId="0" applyNumberFormat="1" applyFont="1" applyFill="1" applyBorder="1" applyAlignment="1">
      <alignment horizontal="center"/>
    </xf>
    <xf numFmtId="0" fontId="19" fillId="10" borderId="1" xfId="0" applyFont="1" applyFill="1" applyBorder="1"/>
    <xf numFmtId="0" fontId="20" fillId="10" borderId="1" xfId="0" applyFont="1" applyFill="1" applyBorder="1"/>
    <xf numFmtId="16" fontId="19" fillId="10" borderId="1" xfId="0" applyNumberFormat="1" applyFon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20" fillId="1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19" fillId="10" borderId="8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19" fillId="10" borderId="20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8" xfId="0" applyFont="1" applyFill="1" applyBorder="1"/>
    <xf numFmtId="0" fontId="19" fillId="10" borderId="8" xfId="0" applyFont="1" applyFill="1" applyBorder="1" applyAlignment="1">
      <alignment horizontal="center" vertical="center" wrapText="1"/>
    </xf>
    <xf numFmtId="2" fontId="19" fillId="10" borderId="7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/>
    <xf numFmtId="0" fontId="7" fillId="0" borderId="8" xfId="0" applyFont="1" applyBorder="1"/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0" fillId="10" borderId="1" xfId="0" applyNumberFormat="1" applyFont="1" applyFill="1" applyBorder="1" applyAlignment="1">
      <alignment horizontal="center" vertical="center" wrapText="1"/>
    </xf>
    <xf numFmtId="4" fontId="20" fillId="10" borderId="1" xfId="0" applyNumberFormat="1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0" fillId="0" borderId="28" xfId="0" applyNumberFormat="1" applyBorder="1" applyAlignment="1">
      <alignment horizontal="center"/>
    </xf>
    <xf numFmtId="0" fontId="0" fillId="0" borderId="0" xfId="0" applyBorder="1" applyAlignment="1"/>
    <xf numFmtId="0" fontId="26" fillId="10" borderId="22" xfId="0" applyFont="1" applyFill="1" applyBorder="1" applyAlignment="1"/>
    <xf numFmtId="0" fontId="14" fillId="11" borderId="1" xfId="0" applyFont="1" applyFill="1" applyBorder="1" applyAlignment="1"/>
    <xf numFmtId="0" fontId="14" fillId="11" borderId="1" xfId="0" applyFont="1" applyFill="1" applyBorder="1" applyAlignment="1">
      <alignment horizontal="left"/>
    </xf>
    <xf numFmtId="16" fontId="14" fillId="11" borderId="1" xfId="0" applyNumberFormat="1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11" borderId="20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0" fontId="14" fillId="11" borderId="24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0" fillId="11" borderId="23" xfId="0" applyFill="1" applyBorder="1"/>
    <xf numFmtId="0" fontId="14" fillId="11" borderId="25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16" fontId="0" fillId="0" borderId="0" xfId="0" applyNumberFormat="1" applyBorder="1"/>
    <xf numFmtId="43" fontId="0" fillId="0" borderId="0" xfId="2" applyFont="1" applyBorder="1"/>
    <xf numFmtId="0" fontId="12" fillId="0" borderId="3" xfId="0" applyFont="1" applyFill="1" applyBorder="1" applyAlignment="1">
      <alignment horizontal="center"/>
    </xf>
    <xf numFmtId="0" fontId="13" fillId="0" borderId="3" xfId="0" applyFont="1" applyFill="1" applyBorder="1"/>
    <xf numFmtId="167" fontId="14" fillId="0" borderId="28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43" fontId="11" fillId="0" borderId="28" xfId="2" applyFill="1" applyBorder="1" applyAlignment="1">
      <alignment horizontal="center"/>
    </xf>
    <xf numFmtId="0" fontId="13" fillId="0" borderId="31" xfId="0" applyFont="1" applyFill="1" applyBorder="1"/>
    <xf numFmtId="164" fontId="1" fillId="10" borderId="1" xfId="0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7" fillId="0" borderId="0" xfId="0" applyFont="1"/>
    <xf numFmtId="0" fontId="28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12" borderId="1" xfId="0" applyNumberForma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1" fillId="10" borderId="1" xfId="0" applyFont="1" applyFill="1" applyBorder="1" applyAlignment="1">
      <alignment horizontal="center"/>
    </xf>
    <xf numFmtId="0" fontId="29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32" fillId="7" borderId="1" xfId="0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0" fontId="8" fillId="0" borderId="0" xfId="1" applyAlignment="1">
      <alignment vertical="center"/>
    </xf>
    <xf numFmtId="4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" fontId="1" fillId="9" borderId="18" xfId="0" applyNumberFormat="1" applyFont="1" applyFill="1" applyBorder="1" applyAlignment="1">
      <alignment horizontal="center"/>
    </xf>
    <xf numFmtId="0" fontId="1" fillId="9" borderId="1" xfId="0" applyFont="1" applyFill="1" applyBorder="1" applyAlignment="1"/>
    <xf numFmtId="0" fontId="1" fillId="4" borderId="1" xfId="0" applyFont="1" applyFill="1" applyBorder="1"/>
    <xf numFmtId="0" fontId="33" fillId="8" borderId="7" xfId="1" quotePrefix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8" borderId="1" xfId="1" quotePrefix="1" applyFont="1" applyFill="1" applyBorder="1" applyAlignment="1">
      <alignment horizontal="center" vertical="center"/>
    </xf>
    <xf numFmtId="0" fontId="33" fillId="8" borderId="8" xfId="1" quotePrefix="1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12" fontId="35" fillId="0" borderId="5" xfId="0" applyNumberFormat="1" applyFont="1" applyBorder="1" applyAlignment="1">
      <alignment horizontal="center"/>
    </xf>
    <xf numFmtId="12" fontId="35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21" fillId="7" borderId="12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center"/>
    </xf>
    <xf numFmtId="0" fontId="23" fillId="7" borderId="13" xfId="1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/>
    </xf>
    <xf numFmtId="0" fontId="23" fillId="7" borderId="12" xfId="1" applyFont="1" applyFill="1" applyBorder="1" applyAlignment="1">
      <alignment horizontal="center" vertical="center" wrapText="1"/>
    </xf>
    <xf numFmtId="0" fontId="23" fillId="7" borderId="13" xfId="1" applyFont="1" applyFill="1" applyBorder="1" applyAlignment="1">
      <alignment horizontal="center" vertical="center" wrapText="1"/>
    </xf>
    <xf numFmtId="0" fontId="23" fillId="7" borderId="1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9" fillId="10" borderId="1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3" fillId="7" borderId="2" xfId="1" applyFont="1" applyFill="1" applyBorder="1" applyAlignment="1">
      <alignment horizontal="center" vertical="center" wrapText="1"/>
    </xf>
    <xf numFmtId="0" fontId="23" fillId="7" borderId="0" xfId="1" applyFont="1" applyFill="1" applyBorder="1" applyAlignment="1">
      <alignment horizontal="center" vertical="center" wrapText="1"/>
    </xf>
    <xf numFmtId="0" fontId="23" fillId="7" borderId="3" xfId="1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25" fillId="7" borderId="41" xfId="0" applyFont="1" applyFill="1" applyBorder="1" applyAlignment="1">
      <alignment horizontal="center" vertical="center" wrapText="1"/>
    </xf>
    <xf numFmtId="39" fontId="14" fillId="6" borderId="15" xfId="2" applyNumberFormat="1" applyFont="1" applyFill="1" applyBorder="1" applyAlignment="1">
      <alignment horizontal="center"/>
    </xf>
    <xf numFmtId="39" fontId="14" fillId="6" borderId="16" xfId="2" applyNumberFormat="1" applyFont="1" applyFill="1" applyBorder="1" applyAlignment="1">
      <alignment horizontal="center"/>
    </xf>
    <xf numFmtId="39" fontId="14" fillId="6" borderId="17" xfId="2" applyNumberFormat="1" applyFont="1" applyFill="1" applyBorder="1" applyAlignment="1">
      <alignment horizontal="center"/>
    </xf>
    <xf numFmtId="0" fontId="14" fillId="11" borderId="15" xfId="0" applyFont="1" applyFill="1" applyBorder="1" applyAlignment="1">
      <alignment horizontal="left"/>
    </xf>
    <xf numFmtId="0" fontId="14" fillId="11" borderId="17" xfId="0" applyFont="1" applyFill="1" applyBorder="1" applyAlignment="1">
      <alignment horizontal="left"/>
    </xf>
    <xf numFmtId="165" fontId="16" fillId="6" borderId="15" xfId="2" applyNumberFormat="1" applyFont="1" applyFill="1" applyBorder="1" applyAlignment="1">
      <alignment horizontal="center"/>
    </xf>
    <xf numFmtId="165" fontId="16" fillId="6" borderId="16" xfId="2" applyNumberFormat="1" applyFont="1" applyFill="1" applyBorder="1" applyAlignment="1">
      <alignment horizontal="center"/>
    </xf>
    <xf numFmtId="165" fontId="16" fillId="6" borderId="17" xfId="2" applyNumberFormat="1" applyFont="1" applyFill="1" applyBorder="1" applyAlignment="1">
      <alignment horizontal="center"/>
    </xf>
    <xf numFmtId="1" fontId="14" fillId="6" borderId="15" xfId="0" applyNumberFormat="1" applyFont="1" applyFill="1" applyBorder="1" applyAlignment="1">
      <alignment horizontal="center"/>
    </xf>
    <xf numFmtId="1" fontId="14" fillId="6" borderId="16" xfId="0" applyNumberFormat="1" applyFont="1" applyFill="1" applyBorder="1" applyAlignment="1">
      <alignment horizontal="center"/>
    </xf>
    <xf numFmtId="1" fontId="14" fillId="6" borderId="17" xfId="0" applyNumberFormat="1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4" fillId="5" borderId="1" xfId="0" applyFont="1" applyFill="1" applyBorder="1" applyAlignment="1"/>
    <xf numFmtId="9" fontId="14" fillId="5" borderId="19" xfId="0" applyNumberFormat="1" applyFont="1" applyFill="1" applyBorder="1" applyAlignment="1"/>
    <xf numFmtId="9" fontId="14" fillId="6" borderId="15" xfId="0" applyNumberFormat="1" applyFont="1" applyFill="1" applyBorder="1" applyAlignment="1"/>
    <xf numFmtId="9" fontId="14" fillId="6" borderId="16" xfId="0" applyNumberFormat="1" applyFont="1" applyFill="1" applyBorder="1" applyAlignment="1"/>
    <xf numFmtId="9" fontId="14" fillId="6" borderId="17" xfId="0" applyNumberFormat="1" applyFont="1" applyFill="1" applyBorder="1" applyAlignment="1"/>
    <xf numFmtId="0" fontId="14" fillId="5" borderId="15" xfId="0" applyFont="1" applyFill="1" applyBorder="1" applyAlignment="1"/>
    <xf numFmtId="0" fontId="14" fillId="5" borderId="16" xfId="0" applyFont="1" applyFill="1" applyBorder="1" applyAlignment="1"/>
    <xf numFmtId="0" fontId="14" fillId="5" borderId="17" xfId="0" applyFont="1" applyFill="1" applyBorder="1" applyAlignment="1"/>
    <xf numFmtId="167" fontId="14" fillId="0" borderId="0" xfId="0" applyNumberFormat="1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19" fillId="10" borderId="41" xfId="0" applyFon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32" fillId="7" borderId="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" fontId="1" fillId="9" borderId="1" xfId="0" applyNumberFormat="1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3" builtinId="5"/>
    <cellStyle name="Vírgula" xfId="2" builtinId="3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emf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emf"/><Relationship Id="rId2" Type="http://schemas.openxmlformats.org/officeDocument/2006/relationships/image" Target="../media/image3.png"/><Relationship Id="rId16" Type="http://schemas.openxmlformats.org/officeDocument/2006/relationships/image" Target="../media/image17.emf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emf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73819</xdr:colOff>
      <xdr:row>0</xdr:row>
      <xdr:rowOff>59531</xdr:rowOff>
    </xdr:from>
    <xdr:to>
      <xdr:col>5</xdr:col>
      <xdr:colOff>153169</xdr:colOff>
      <xdr:row>0</xdr:row>
      <xdr:rowOff>736921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7132" y="59531"/>
          <a:ext cx="2234381" cy="6773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882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10407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882</xdr:colOff>
      <xdr:row>0</xdr:row>
      <xdr:rowOff>471237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1474273" cy="3805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334257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629532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3</xdr:col>
      <xdr:colOff>134232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409575</xdr:colOff>
      <xdr:row>0</xdr:row>
      <xdr:rowOff>485667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1538061" cy="3949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28575</xdr:rowOff>
    </xdr:from>
    <xdr:to>
      <xdr:col>2</xdr:col>
      <xdr:colOff>409575</xdr:colOff>
      <xdr:row>0</xdr:row>
      <xdr:rowOff>514350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28575"/>
          <a:ext cx="1538061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</xdr:row>
      <xdr:rowOff>19051</xdr:rowOff>
    </xdr:from>
    <xdr:ext cx="447675" cy="33984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762001"/>
          <a:ext cx="447675" cy="339840"/>
        </a:xfrm>
        <a:prstGeom prst="rect">
          <a:avLst/>
        </a:prstGeom>
      </xdr:spPr>
    </xdr:pic>
    <xdr:clientData/>
  </xdr:oneCellAnchor>
  <xdr:twoCellAnchor editAs="oneCell">
    <xdr:from>
      <xdr:col>2</xdr:col>
      <xdr:colOff>28575</xdr:colOff>
      <xdr:row>4</xdr:row>
      <xdr:rowOff>38100</xdr:rowOff>
    </xdr:from>
    <xdr:to>
      <xdr:col>2</xdr:col>
      <xdr:colOff>400050</xdr:colOff>
      <xdr:row>6</xdr:row>
      <xdr:rowOff>433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1162050"/>
          <a:ext cx="371475" cy="34333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</xdr:row>
      <xdr:rowOff>53364</xdr:rowOff>
    </xdr:from>
    <xdr:to>
      <xdr:col>2</xdr:col>
      <xdr:colOff>361950</xdr:colOff>
      <xdr:row>7</xdr:row>
      <xdr:rowOff>182179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9175" y="1558314"/>
          <a:ext cx="304800" cy="31931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8</xdr:row>
      <xdr:rowOff>47625</xdr:rowOff>
    </xdr:from>
    <xdr:to>
      <xdr:col>2</xdr:col>
      <xdr:colOff>342900</xdr:colOff>
      <xdr:row>9</xdr:row>
      <xdr:rowOff>166688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0600" y="1933575"/>
          <a:ext cx="314325" cy="30956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33169</xdr:rowOff>
    </xdr:from>
    <xdr:to>
      <xdr:col>2</xdr:col>
      <xdr:colOff>333376</xdr:colOff>
      <xdr:row>11</xdr:row>
      <xdr:rowOff>180806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28700" y="2300119"/>
          <a:ext cx="266701" cy="338137"/>
        </a:xfrm>
        <a:prstGeom prst="rect">
          <a:avLst/>
        </a:prstGeom>
      </xdr:spPr>
    </xdr:pic>
    <xdr:clientData/>
  </xdr:twoCellAnchor>
  <xdr:twoCellAnchor editAs="oneCell">
    <xdr:from>
      <xdr:col>2</xdr:col>
      <xdr:colOff>85724</xdr:colOff>
      <xdr:row>12</xdr:row>
      <xdr:rowOff>58933</xdr:rowOff>
    </xdr:from>
    <xdr:to>
      <xdr:col>2</xdr:col>
      <xdr:colOff>371927</xdr:colOff>
      <xdr:row>13</xdr:row>
      <xdr:rowOff>152400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49" y="2706883"/>
          <a:ext cx="286203" cy="283967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14</xdr:row>
      <xdr:rowOff>76200</xdr:rowOff>
    </xdr:from>
    <xdr:to>
      <xdr:col>2</xdr:col>
      <xdr:colOff>407035</xdr:colOff>
      <xdr:row>15</xdr:row>
      <xdr:rowOff>152400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8700" y="3105150"/>
          <a:ext cx="34036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16</xdr:row>
      <xdr:rowOff>28575</xdr:rowOff>
    </xdr:from>
    <xdr:to>
      <xdr:col>2</xdr:col>
      <xdr:colOff>438150</xdr:colOff>
      <xdr:row>17</xdr:row>
      <xdr:rowOff>167398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09650" y="3438525"/>
          <a:ext cx="390525" cy="32932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18</xdr:row>
      <xdr:rowOff>104775</xdr:rowOff>
    </xdr:from>
    <xdr:to>
      <xdr:col>2</xdr:col>
      <xdr:colOff>398749</xdr:colOff>
      <xdr:row>19</xdr:row>
      <xdr:rowOff>152270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7275" y="3895725"/>
          <a:ext cx="303499" cy="23799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20</xdr:row>
      <xdr:rowOff>38100</xdr:rowOff>
    </xdr:from>
    <xdr:to>
      <xdr:col>2</xdr:col>
      <xdr:colOff>416941</xdr:colOff>
      <xdr:row>21</xdr:row>
      <xdr:rowOff>133190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76325" y="4210050"/>
          <a:ext cx="302641" cy="28559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22</xdr:row>
      <xdr:rowOff>69610</xdr:rowOff>
    </xdr:from>
    <xdr:to>
      <xdr:col>2</xdr:col>
      <xdr:colOff>409575</xdr:colOff>
      <xdr:row>23</xdr:row>
      <xdr:rowOff>161776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57275" y="4622560"/>
          <a:ext cx="314325" cy="28266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24</xdr:row>
      <xdr:rowOff>25018</xdr:rowOff>
    </xdr:from>
    <xdr:to>
      <xdr:col>2</xdr:col>
      <xdr:colOff>409575</xdr:colOff>
      <xdr:row>25</xdr:row>
      <xdr:rowOff>161770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19175" y="4958968"/>
          <a:ext cx="352425" cy="3272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26</xdr:row>
      <xdr:rowOff>57150</xdr:rowOff>
    </xdr:from>
    <xdr:to>
      <xdr:col>2</xdr:col>
      <xdr:colOff>409576</xdr:colOff>
      <xdr:row>27</xdr:row>
      <xdr:rowOff>152302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71551" y="5372100"/>
          <a:ext cx="400050" cy="28565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28</xdr:row>
      <xdr:rowOff>44758</xdr:rowOff>
    </xdr:from>
    <xdr:to>
      <xdr:col>2</xdr:col>
      <xdr:colOff>314325</xdr:colOff>
      <xdr:row>29</xdr:row>
      <xdr:rowOff>190338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5250" y="5740708"/>
          <a:ext cx="219075" cy="33608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30</xdr:row>
      <xdr:rowOff>47625</xdr:rowOff>
    </xdr:from>
    <xdr:to>
      <xdr:col>2</xdr:col>
      <xdr:colOff>304963</xdr:colOff>
      <xdr:row>31</xdr:row>
      <xdr:rowOff>152236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5250" y="6124575"/>
          <a:ext cx="209713" cy="3046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32</xdr:row>
      <xdr:rowOff>19050</xdr:rowOff>
    </xdr:from>
    <xdr:to>
      <xdr:col>2</xdr:col>
      <xdr:colOff>429432</xdr:colOff>
      <xdr:row>33</xdr:row>
      <xdr:rowOff>171450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100" y="6477000"/>
          <a:ext cx="391332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34</xdr:row>
      <xdr:rowOff>28575</xdr:rowOff>
    </xdr:from>
    <xdr:to>
      <xdr:col>2</xdr:col>
      <xdr:colOff>384058</xdr:colOff>
      <xdr:row>35</xdr:row>
      <xdr:rowOff>168540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80975" y="6867525"/>
          <a:ext cx="203083" cy="33046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36</xdr:row>
      <xdr:rowOff>76200</xdr:rowOff>
    </xdr:from>
    <xdr:to>
      <xdr:col>2</xdr:col>
      <xdr:colOff>478318</xdr:colOff>
      <xdr:row>37</xdr:row>
      <xdr:rowOff>146363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23826" y="7296150"/>
          <a:ext cx="354492" cy="260663"/>
        </a:xfrm>
        <a:prstGeom prst="rect">
          <a:avLst/>
        </a:prstGeom>
      </xdr:spPr>
    </xdr:pic>
    <xdr:clientData/>
  </xdr:twoCellAnchor>
  <xdr:twoCellAnchor editAs="oneCell">
    <xdr:from>
      <xdr:col>2</xdr:col>
      <xdr:colOff>62205</xdr:colOff>
      <xdr:row>38</xdr:row>
      <xdr:rowOff>66101</xdr:rowOff>
    </xdr:from>
    <xdr:to>
      <xdr:col>2</xdr:col>
      <xdr:colOff>455541</xdr:colOff>
      <xdr:row>39</xdr:row>
      <xdr:rowOff>135688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0800000">
          <a:off x="62205" y="7667051"/>
          <a:ext cx="393336" cy="260087"/>
        </a:xfrm>
        <a:prstGeom prst="rect">
          <a:avLst/>
        </a:prstGeom>
      </xdr:spPr>
    </xdr:pic>
    <xdr:clientData/>
  </xdr:twoCellAnchor>
  <xdr:twoCellAnchor editAs="oneCell">
    <xdr:from>
      <xdr:col>15</xdr:col>
      <xdr:colOff>371475</xdr:colOff>
      <xdr:row>1</xdr:row>
      <xdr:rowOff>57752</xdr:rowOff>
    </xdr:from>
    <xdr:to>
      <xdr:col>15</xdr:col>
      <xdr:colOff>838200</xdr:colOff>
      <xdr:row>1</xdr:row>
      <xdr:rowOff>466589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639425" y="257777"/>
          <a:ext cx="466725" cy="408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1</xdr:col>
      <xdr:colOff>610482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2000" cy="677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1</xdr:col>
      <xdr:colOff>610482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1</xdr:col>
      <xdr:colOff>610482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882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882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2</xdr:col>
      <xdr:colOff>882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90714</xdr:rowOff>
    </xdr:from>
    <xdr:to>
      <xdr:col>1</xdr:col>
      <xdr:colOff>610482</xdr:colOff>
      <xdr:row>0</xdr:row>
      <xdr:rowOff>768104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90714"/>
          <a:ext cx="2234268" cy="6773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rika/AppData/Local/Microsoft/Windows/Temporary%20Internet%20Files/Content.Outlook/B8JFEXU7/Dimen%2025%20Ser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por saturado"/>
      <sheetName val="Gás Natural"/>
      <sheetName val="Ar comprimido"/>
      <sheetName val="Líquidos"/>
      <sheetName val="Atuador KE-LE"/>
      <sheetName val="Sh40"/>
      <sheetName val="Split Range"/>
      <sheetName val="Cadastro atuadores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3.6745300000000002E-5</v>
          </cell>
        </row>
        <row r="8">
          <cell r="B8">
            <v>6.6765400000000003E-5</v>
          </cell>
        </row>
        <row r="9">
          <cell r="B9">
            <v>1.2232599999999999E-4</v>
          </cell>
        </row>
        <row r="10">
          <cell r="B10">
            <v>1.9507500000000001E-4</v>
          </cell>
        </row>
        <row r="11">
          <cell r="B11">
            <v>5.5738900000000004E-4</v>
          </cell>
        </row>
        <row r="12">
          <cell r="B12">
            <v>9.6651599999999995E-4</v>
          </cell>
        </row>
        <row r="13">
          <cell r="B13">
            <v>1.3163929999999999E-3</v>
          </cell>
        </row>
        <row r="14">
          <cell r="B14">
            <v>2.1631049999999998E-3</v>
          </cell>
        </row>
        <row r="15">
          <cell r="B15">
            <v>3.0856579999999998E-3</v>
          </cell>
        </row>
        <row r="16">
          <cell r="B16">
            <v>4.7685660000000001E-3</v>
          </cell>
        </row>
        <row r="17">
          <cell r="B17">
            <v>6.3787009999999996E-3</v>
          </cell>
        </row>
        <row r="18">
          <cell r="B18">
            <v>8.212993E-3</v>
          </cell>
        </row>
        <row r="19">
          <cell r="B19">
            <v>1.2908207E-2</v>
          </cell>
        </row>
        <row r="20">
          <cell r="B20">
            <v>1.864586E-2</v>
          </cell>
        </row>
        <row r="21">
          <cell r="B21">
            <v>3.2282618999999999E-2</v>
          </cell>
        </row>
        <row r="22">
          <cell r="B22">
            <v>5.0854445999999998E-2</v>
          </cell>
        </row>
        <row r="23">
          <cell r="B23">
            <v>7.2192317000000006E-2</v>
          </cell>
        </row>
        <row r="24">
          <cell r="B24">
            <v>8.7269952999999997E-2</v>
          </cell>
        </row>
        <row r="25">
          <cell r="B25">
            <v>0.114009183</v>
          </cell>
        </row>
        <row r="26">
          <cell r="B26">
            <v>0.144181802</v>
          </cell>
        </row>
        <row r="27">
          <cell r="B27">
            <v>0.179315788</v>
          </cell>
        </row>
        <row r="28">
          <cell r="B28">
            <v>0.25970839699999998</v>
          </cell>
        </row>
        <row r="29">
          <cell r="B29">
            <v>0.47543782600000001</v>
          </cell>
        </row>
        <row r="30">
          <cell r="B30">
            <v>0.53980990799999995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="80" zoomScaleNormal="80" workbookViewId="0">
      <selection activeCell="B4" sqref="B4"/>
    </sheetView>
  </sheetViews>
  <sheetFormatPr defaultRowHeight="15" x14ac:dyDescent="0.25"/>
  <cols>
    <col min="2" max="2" width="28.7109375" customWidth="1"/>
    <col min="4" max="4" width="7.7109375" customWidth="1"/>
    <col min="5" max="5" width="32.28515625" customWidth="1"/>
    <col min="8" max="8" width="25.7109375" customWidth="1"/>
  </cols>
  <sheetData>
    <row r="1" spans="2:11" ht="65.099999999999994" customHeight="1" thickBot="1" x14ac:dyDescent="0.3">
      <c r="B1" s="234"/>
      <c r="C1" s="235"/>
      <c r="D1" s="235"/>
      <c r="E1" s="235"/>
      <c r="F1" s="235"/>
      <c r="G1" s="235"/>
      <c r="H1" s="236"/>
    </row>
    <row r="2" spans="2:11" ht="24" thickBot="1" x14ac:dyDescent="0.4">
      <c r="B2" s="231" t="s">
        <v>131</v>
      </c>
      <c r="C2" s="232"/>
      <c r="D2" s="232"/>
      <c r="E2" s="232"/>
      <c r="F2" s="232"/>
      <c r="G2" s="232"/>
      <c r="H2" s="233"/>
    </row>
    <row r="3" spans="2:11" x14ac:dyDescent="0.25">
      <c r="B3" s="2"/>
      <c r="C3" s="4"/>
      <c r="D3" s="4"/>
      <c r="E3" s="4"/>
      <c r="F3" s="4"/>
      <c r="G3" s="4"/>
      <c r="H3" s="3"/>
    </row>
    <row r="4" spans="2:11" s="34" customFormat="1" ht="24.95" customHeight="1" x14ac:dyDescent="0.25">
      <c r="B4" s="220" t="s">
        <v>259</v>
      </c>
      <c r="C4" s="221"/>
      <c r="D4" s="221"/>
      <c r="E4" s="222" t="s">
        <v>136</v>
      </c>
      <c r="F4" s="221"/>
      <c r="G4" s="221"/>
      <c r="H4" s="223" t="s">
        <v>158</v>
      </c>
    </row>
    <row r="5" spans="2:11" s="34" customFormat="1" ht="24.95" customHeight="1" x14ac:dyDescent="0.25">
      <c r="B5" s="224"/>
      <c r="C5" s="221"/>
      <c r="D5" s="221"/>
      <c r="E5" s="221"/>
      <c r="F5" s="221"/>
      <c r="G5" s="221"/>
      <c r="H5" s="225"/>
    </row>
    <row r="6" spans="2:11" s="34" customFormat="1" ht="24.95" customHeight="1" x14ac:dyDescent="0.25">
      <c r="B6" s="220" t="s">
        <v>129</v>
      </c>
      <c r="C6" s="221"/>
      <c r="D6" s="221"/>
      <c r="E6" s="222" t="s">
        <v>137</v>
      </c>
      <c r="F6" s="221"/>
      <c r="G6" s="221"/>
      <c r="H6" s="223" t="s">
        <v>159</v>
      </c>
    </row>
    <row r="7" spans="2:11" s="34" customFormat="1" ht="24.95" customHeight="1" x14ac:dyDescent="0.25">
      <c r="B7" s="224"/>
      <c r="C7" s="221"/>
      <c r="D7" s="221"/>
      <c r="E7" s="221"/>
      <c r="F7" s="221"/>
      <c r="G7" s="221"/>
      <c r="H7" s="225"/>
      <c r="K7" s="214"/>
    </row>
    <row r="8" spans="2:11" s="34" customFormat="1" ht="24.95" customHeight="1" x14ac:dyDescent="0.25">
      <c r="B8" s="220" t="s">
        <v>132</v>
      </c>
      <c r="C8" s="221"/>
      <c r="D8" s="221"/>
      <c r="E8" s="222" t="s">
        <v>138</v>
      </c>
      <c r="F8" s="221"/>
      <c r="G8" s="221"/>
      <c r="H8" s="223" t="s">
        <v>293</v>
      </c>
    </row>
    <row r="9" spans="2:11" s="34" customFormat="1" ht="24.95" customHeight="1" x14ac:dyDescent="0.25">
      <c r="B9" s="224"/>
      <c r="C9" s="221"/>
      <c r="D9" s="221"/>
      <c r="E9" s="221"/>
      <c r="F9" s="221"/>
      <c r="G9" s="221"/>
      <c r="H9" s="225"/>
    </row>
    <row r="10" spans="2:11" s="34" customFormat="1" ht="24.95" customHeight="1" x14ac:dyDescent="0.25">
      <c r="B10" s="220" t="s">
        <v>133</v>
      </c>
      <c r="C10" s="221"/>
      <c r="D10" s="221"/>
      <c r="E10" s="222" t="s">
        <v>139</v>
      </c>
      <c r="F10" s="221"/>
      <c r="G10" s="221"/>
      <c r="H10" s="223" t="s">
        <v>296</v>
      </c>
    </row>
    <row r="11" spans="2:11" s="34" customFormat="1" ht="24.95" customHeight="1" x14ac:dyDescent="0.25">
      <c r="B11" s="224"/>
      <c r="C11" s="221"/>
      <c r="D11" s="221"/>
      <c r="E11" s="221"/>
      <c r="F11" s="221"/>
      <c r="G11" s="221"/>
      <c r="H11" s="225"/>
    </row>
    <row r="12" spans="2:11" s="34" customFormat="1" ht="24.95" customHeight="1" x14ac:dyDescent="0.25">
      <c r="B12" s="220" t="s">
        <v>134</v>
      </c>
      <c r="C12" s="221"/>
      <c r="D12" s="221"/>
      <c r="E12" s="222" t="s">
        <v>246</v>
      </c>
      <c r="F12" s="221"/>
      <c r="G12" s="221"/>
      <c r="H12" s="223"/>
    </row>
    <row r="13" spans="2:11" s="34" customFormat="1" ht="24.95" customHeight="1" x14ac:dyDescent="0.25">
      <c r="B13" s="224"/>
      <c r="C13" s="221"/>
      <c r="D13" s="221"/>
      <c r="E13" s="221"/>
      <c r="F13" s="221"/>
      <c r="G13" s="221"/>
      <c r="H13" s="225"/>
    </row>
    <row r="14" spans="2:11" s="34" customFormat="1" ht="24.95" customHeight="1" x14ac:dyDescent="0.25">
      <c r="B14" s="220" t="s">
        <v>135</v>
      </c>
      <c r="C14" s="221"/>
      <c r="D14" s="221"/>
      <c r="E14" s="222"/>
      <c r="F14" s="221"/>
      <c r="G14" s="221"/>
      <c r="H14" s="223"/>
    </row>
    <row r="15" spans="2:11" s="34" customFormat="1" ht="24.95" customHeight="1" thickBot="1" x14ac:dyDescent="0.3">
      <c r="B15" s="105"/>
      <c r="C15" s="106"/>
      <c r="D15" s="106"/>
      <c r="E15" s="106"/>
      <c r="F15" s="106"/>
      <c r="G15" s="106"/>
      <c r="H15" s="107"/>
    </row>
    <row r="16" spans="2:11" s="34" customFormat="1" ht="24.95" customHeight="1" x14ac:dyDescent="0.25"/>
    <row r="17" s="34" customFormat="1" ht="24.95" customHeight="1" x14ac:dyDescent="0.25"/>
    <row r="18" s="34" customFormat="1" ht="24.95" customHeight="1" x14ac:dyDescent="0.25"/>
    <row r="19" s="34" customFormat="1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</sheetData>
  <customSheetViews>
    <customSheetView guid="{C2890FB4-BE88-474C-B3CD-908783EA9CB2}">
      <selection activeCell="D16" sqref="D16"/>
      <pageMargins left="0.511811024" right="0.511811024" top="0.78740157499999996" bottom="0.78740157499999996" header="0.31496062000000002" footer="0.31496062000000002"/>
      <pageSetup paperSize="9" orientation="portrait" horizontalDpi="0" verticalDpi="0" r:id="rId1"/>
    </customSheetView>
  </customSheetViews>
  <mergeCells count="2">
    <mergeCell ref="B2:H2"/>
    <mergeCell ref="B1:H1"/>
  </mergeCells>
  <hyperlinks>
    <hyperlink ref="B4" location="'Expansão Termica'!A1" display="'Expansão Termica'!A1"/>
    <hyperlink ref="B8" location="'Consumo Adesivo'!A1" display="'Consumo Adesivo'!A1"/>
    <hyperlink ref="B10" location="'Distância Suportes'!A1" display="'Distância Suportes'!A1"/>
    <hyperlink ref="B12" location="'Parafusos e Porcas p Flanges'!A1" display="Parafusos e Porcas p/ Flnges"/>
    <hyperlink ref="B14" location="'Perda de carga PVC-U x Aço'!A1" display="'Perda de carga PVC-U x Aço'!A1"/>
    <hyperlink ref="E4" location="'Perda de carga Tubos aço'!A1" display="'Perda de carga Tubos aço'!A1"/>
    <hyperlink ref="E6" location="'Tubos PVC-U e CPVC'!A1" display="'Tubos PVC-U e CPVC'!A1"/>
    <hyperlink ref="E8" location="'Condutividade Termica'!A1" display="'Condutividade Termica'!A1"/>
    <hyperlink ref="E10" location="'Pesos tubos  cheios'!A1" display="Peso  dos Tubos"/>
    <hyperlink ref="H4" location="'Válvulas vapor'!A1" display="Dimens. Válvulas Vapor"/>
    <hyperlink ref="H6" location="'Válvulas Ar'!A1" display="Dimens. Válvulas Ar Comp"/>
    <hyperlink ref="E12" location="'Pressão x Temp'!A1" display="Pressão x Temperatura"/>
    <hyperlink ref="B6" location="'Resistência Química'!A1" display="'Resistência Química'!A1"/>
    <hyperlink ref="H8" location="'Área Tubos '!A1" display="Área dos tubos"/>
    <hyperlink ref="H10" location="'Dimensões dos tubos'!A1" display="Dimensões  dos Tubos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5" x14ac:dyDescent="0.25"/>
  <cols>
    <col min="1" max="1" width="25.7109375" customWidth="1"/>
  </cols>
  <sheetData>
    <row r="1" spans="1:19" s="39" customFormat="1" ht="65.099999999999994" customHeight="1" thickBot="1" x14ac:dyDescent="0.3">
      <c r="A1" s="244"/>
      <c r="B1" s="245"/>
      <c r="C1" s="245"/>
      <c r="D1" s="245"/>
      <c r="E1" s="245"/>
      <c r="F1" s="246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61"/>
      <c r="S1" s="4"/>
    </row>
    <row r="2" spans="1:19" ht="30" customHeight="1" thickBot="1" x14ac:dyDescent="0.3">
      <c r="A2" s="92" t="s">
        <v>130</v>
      </c>
      <c r="B2" s="256"/>
      <c r="C2" s="257"/>
      <c r="D2" s="257"/>
      <c r="E2" s="257"/>
      <c r="F2" s="258"/>
    </row>
    <row r="3" spans="1:19" x14ac:dyDescent="0.25">
      <c r="A3" s="2"/>
      <c r="B3" s="4"/>
      <c r="C3" s="4"/>
      <c r="D3" s="4"/>
      <c r="E3" s="4"/>
      <c r="F3" s="3"/>
    </row>
    <row r="4" spans="1:19" x14ac:dyDescent="0.25">
      <c r="A4" s="2"/>
      <c r="B4" s="4"/>
      <c r="C4" s="260" t="s">
        <v>108</v>
      </c>
      <c r="D4" s="260"/>
      <c r="E4" s="260"/>
      <c r="F4" s="261"/>
    </row>
    <row r="5" spans="1:19" x14ac:dyDescent="0.25">
      <c r="A5" s="2"/>
      <c r="B5" s="4"/>
      <c r="C5" s="118" t="s">
        <v>109</v>
      </c>
      <c r="D5" s="118" t="s">
        <v>110</v>
      </c>
      <c r="E5" s="118" t="s">
        <v>111</v>
      </c>
      <c r="F5" s="132" t="s">
        <v>112</v>
      </c>
    </row>
    <row r="6" spans="1:19" x14ac:dyDescent="0.25">
      <c r="A6" s="2"/>
      <c r="B6" s="4"/>
      <c r="C6" s="85" t="s">
        <v>60</v>
      </c>
      <c r="D6" s="85">
        <v>21.2</v>
      </c>
      <c r="E6" s="85">
        <v>3.8</v>
      </c>
      <c r="F6" s="128">
        <v>13.6</v>
      </c>
    </row>
    <row r="7" spans="1:19" x14ac:dyDescent="0.25">
      <c r="A7" s="2"/>
      <c r="B7" s="4"/>
      <c r="C7" s="85" t="s">
        <v>63</v>
      </c>
      <c r="D7" s="85">
        <v>26.6</v>
      </c>
      <c r="E7" s="85">
        <v>4</v>
      </c>
      <c r="F7" s="128">
        <v>18.600000000000001</v>
      </c>
    </row>
    <row r="8" spans="1:19" x14ac:dyDescent="0.25">
      <c r="A8" s="2"/>
      <c r="B8" s="4"/>
      <c r="C8" s="85" t="s">
        <v>65</v>
      </c>
      <c r="D8" s="85">
        <v>33.299999999999997</v>
      </c>
      <c r="E8" s="85">
        <v>4.5999999999999996</v>
      </c>
      <c r="F8" s="128">
        <v>24.1</v>
      </c>
    </row>
    <row r="9" spans="1:19" x14ac:dyDescent="0.25">
      <c r="A9" s="2"/>
      <c r="B9" s="4"/>
      <c r="C9" s="85" t="s">
        <v>66</v>
      </c>
      <c r="D9" s="85">
        <v>42.1</v>
      </c>
      <c r="E9" s="85">
        <v>4.9000000000000004</v>
      </c>
      <c r="F9" s="128">
        <v>32.299999999999997</v>
      </c>
    </row>
    <row r="10" spans="1:19" x14ac:dyDescent="0.25">
      <c r="A10" s="2"/>
      <c r="B10" s="4"/>
      <c r="C10" s="85" t="s">
        <v>68</v>
      </c>
      <c r="D10" s="85">
        <v>48.1</v>
      </c>
      <c r="E10" s="85">
        <v>5.2</v>
      </c>
      <c r="F10" s="128">
        <v>37.700000000000003</v>
      </c>
    </row>
    <row r="11" spans="1:19" x14ac:dyDescent="0.25">
      <c r="A11" s="2"/>
      <c r="B11" s="4"/>
      <c r="C11" s="85" t="s">
        <v>69</v>
      </c>
      <c r="D11" s="85">
        <v>60.2</v>
      </c>
      <c r="E11" s="85">
        <v>5.7</v>
      </c>
      <c r="F11" s="128">
        <v>48.8</v>
      </c>
    </row>
    <row r="12" spans="1:19" x14ac:dyDescent="0.25">
      <c r="A12" s="2"/>
      <c r="B12" s="4"/>
      <c r="C12" s="85" t="s">
        <v>71</v>
      </c>
      <c r="D12" s="85">
        <v>73</v>
      </c>
      <c r="E12" s="85">
        <v>7.1</v>
      </c>
      <c r="F12" s="128">
        <v>58.8</v>
      </c>
    </row>
    <row r="13" spans="1:19" x14ac:dyDescent="0.25">
      <c r="A13" s="2"/>
      <c r="B13" s="4"/>
      <c r="C13" s="85" t="s">
        <v>73</v>
      </c>
      <c r="D13" s="85">
        <v>88.9</v>
      </c>
      <c r="E13" s="85">
        <v>7.9</v>
      </c>
      <c r="F13" s="128">
        <v>73.099999999999994</v>
      </c>
    </row>
    <row r="14" spans="1:19" x14ac:dyDescent="0.25">
      <c r="A14" s="2"/>
      <c r="B14" s="4"/>
      <c r="C14" s="85" t="s">
        <v>75</v>
      </c>
      <c r="D14" s="85">
        <v>114.4</v>
      </c>
      <c r="E14" s="85">
        <v>8.8000000000000007</v>
      </c>
      <c r="F14" s="128">
        <v>96.8</v>
      </c>
    </row>
    <row r="15" spans="1:19" x14ac:dyDescent="0.25">
      <c r="A15" s="2"/>
      <c r="B15" s="4"/>
      <c r="C15" s="85" t="s">
        <v>78</v>
      </c>
      <c r="D15" s="85">
        <v>168.3</v>
      </c>
      <c r="E15" s="85">
        <v>11</v>
      </c>
      <c r="F15" s="128">
        <v>146.30000000000001</v>
      </c>
    </row>
    <row r="16" spans="1:19" x14ac:dyDescent="0.25">
      <c r="A16" s="2"/>
      <c r="B16" s="4"/>
      <c r="C16" s="85" t="s">
        <v>80</v>
      </c>
      <c r="D16" s="85">
        <v>219.1</v>
      </c>
      <c r="E16" s="85">
        <v>12.7</v>
      </c>
      <c r="F16" s="128">
        <v>193.7</v>
      </c>
    </row>
    <row r="17" spans="1:6" ht="15.75" thickBot="1" x14ac:dyDescent="0.3">
      <c r="A17" s="101"/>
      <c r="B17" s="102"/>
      <c r="C17" s="102"/>
      <c r="D17" s="102"/>
      <c r="E17" s="102"/>
      <c r="F17" s="108"/>
    </row>
  </sheetData>
  <sheetProtection algorithmName="SHA-512" hashValue="1f934C9aqGFpUMQoTNzvBa1JWRl9wLGbyjRt2zzgLQsEnaX2G0SO5LRAWS6vjJ0NHBM6aB0HXfKLLeL7IaWlYA==" saltValue="n59mp72xxnfmUFW2ak+fvw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  <pageSetup paperSize="9" orientation="portrait" horizontalDpi="0" verticalDpi="0" r:id="rId1"/>
    </customSheetView>
  </customSheetViews>
  <mergeCells count="3">
    <mergeCell ref="C4:F4"/>
    <mergeCell ref="A1:F1"/>
    <mergeCell ref="B2:F2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6" workbookViewId="0">
      <selection activeCell="E8" sqref="E1:E1048576"/>
    </sheetView>
  </sheetViews>
  <sheetFormatPr defaultRowHeight="15" x14ac:dyDescent="0.25"/>
  <cols>
    <col min="1" max="1" width="25.7109375" customWidth="1"/>
    <col min="2" max="2" width="9" customWidth="1"/>
    <col min="3" max="3" width="15.5703125" customWidth="1"/>
    <col min="4" max="4" width="12.42578125" customWidth="1"/>
    <col min="5" max="6" width="27.85546875" customWidth="1"/>
  </cols>
  <sheetData>
    <row r="1" spans="1:6" s="39" customFormat="1" ht="65.099999999999994" customHeight="1" thickBot="1" x14ac:dyDescent="0.3">
      <c r="A1" s="244"/>
      <c r="B1" s="245"/>
      <c r="C1" s="245"/>
      <c r="D1" s="245"/>
      <c r="E1" s="245"/>
      <c r="F1" s="246"/>
    </row>
    <row r="2" spans="1:6" ht="30" customHeight="1" thickBot="1" x14ac:dyDescent="0.3">
      <c r="A2" s="92" t="s">
        <v>130</v>
      </c>
      <c r="B2" s="256"/>
      <c r="C2" s="257"/>
      <c r="D2" s="257"/>
      <c r="E2" s="257"/>
      <c r="F2" s="258"/>
    </row>
    <row r="3" spans="1:6" x14ac:dyDescent="0.25">
      <c r="A3" s="2"/>
      <c r="B3" s="4"/>
      <c r="C3" s="4"/>
      <c r="D3" s="294" t="s">
        <v>263</v>
      </c>
      <c r="E3" s="294"/>
      <c r="F3" s="3"/>
    </row>
    <row r="4" spans="1:6" x14ac:dyDescent="0.25">
      <c r="A4" s="2"/>
      <c r="B4" s="4"/>
      <c r="C4" s="118" t="s">
        <v>119</v>
      </c>
      <c r="D4" s="295">
        <v>50.2</v>
      </c>
      <c r="E4" s="295"/>
      <c r="F4" s="3"/>
    </row>
    <row r="5" spans="1:6" x14ac:dyDescent="0.25">
      <c r="A5" s="2"/>
      <c r="B5" s="4"/>
      <c r="C5" s="118" t="s">
        <v>6</v>
      </c>
      <c r="D5" s="295">
        <v>0.2</v>
      </c>
      <c r="E5" s="295"/>
      <c r="F5" s="3"/>
    </row>
    <row r="6" spans="1:6" x14ac:dyDescent="0.25">
      <c r="A6" s="2"/>
      <c r="B6" s="4"/>
      <c r="C6" s="118" t="s">
        <v>120</v>
      </c>
      <c r="D6" s="295">
        <v>0.16</v>
      </c>
      <c r="E6" s="295"/>
      <c r="F6" s="3"/>
    </row>
    <row r="7" spans="1:6" x14ac:dyDescent="0.25">
      <c r="A7" s="2"/>
      <c r="B7" s="4"/>
      <c r="C7" s="118" t="s">
        <v>8</v>
      </c>
      <c r="D7" s="295">
        <v>0.24</v>
      </c>
      <c r="E7" s="295"/>
      <c r="F7" s="3"/>
    </row>
    <row r="8" spans="1:6" x14ac:dyDescent="0.25">
      <c r="A8" s="2"/>
      <c r="B8" s="4"/>
      <c r="C8" s="4"/>
      <c r="D8" s="4"/>
      <c r="E8" s="4"/>
      <c r="F8" s="3"/>
    </row>
    <row r="9" spans="1:6" x14ac:dyDescent="0.25">
      <c r="A9" s="2"/>
      <c r="B9" s="4"/>
      <c r="C9" s="4"/>
      <c r="D9" s="4"/>
      <c r="E9" s="4"/>
      <c r="F9" s="3"/>
    </row>
    <row r="10" spans="1:6" ht="27.75" customHeight="1" x14ac:dyDescent="0.25">
      <c r="A10" s="2"/>
      <c r="B10" s="4"/>
      <c r="C10" s="291" t="s">
        <v>265</v>
      </c>
      <c r="D10" s="292" t="s">
        <v>264</v>
      </c>
      <c r="E10" s="293"/>
      <c r="F10" s="3"/>
    </row>
    <row r="11" spans="1:6" ht="29.25" customHeight="1" x14ac:dyDescent="0.25">
      <c r="A11" s="2"/>
      <c r="B11" s="4"/>
      <c r="C11" s="291"/>
      <c r="D11" s="133" t="s">
        <v>123</v>
      </c>
      <c r="E11" s="133" t="s">
        <v>124</v>
      </c>
      <c r="F11" s="3"/>
    </row>
    <row r="12" spans="1:6" x14ac:dyDescent="0.25">
      <c r="A12" s="2"/>
      <c r="B12" s="4"/>
      <c r="C12" s="85">
        <v>51.6</v>
      </c>
      <c r="D12" s="85">
        <v>51.6</v>
      </c>
      <c r="E12" s="85">
        <v>39.4</v>
      </c>
      <c r="F12" s="3"/>
    </row>
    <row r="13" spans="1:6" x14ac:dyDescent="0.25">
      <c r="A13" s="2"/>
      <c r="B13" s="4"/>
      <c r="C13" s="85">
        <v>65.5</v>
      </c>
      <c r="D13" s="85">
        <v>65.5</v>
      </c>
      <c r="E13" s="85">
        <v>46.1</v>
      </c>
      <c r="F13" s="3"/>
    </row>
    <row r="14" spans="1:6" x14ac:dyDescent="0.25">
      <c r="A14" s="2"/>
      <c r="B14" s="4"/>
      <c r="C14" s="85">
        <v>79.400000000000006</v>
      </c>
      <c r="D14" s="85">
        <v>79.400000000000006</v>
      </c>
      <c r="E14" s="85">
        <v>57.2</v>
      </c>
      <c r="F14" s="3"/>
    </row>
    <row r="15" spans="1:6" x14ac:dyDescent="0.25">
      <c r="A15" s="2"/>
      <c r="B15" s="4"/>
      <c r="C15" s="85">
        <v>93.3</v>
      </c>
      <c r="D15" s="85">
        <v>93.3</v>
      </c>
      <c r="E15" s="85">
        <v>65.5</v>
      </c>
      <c r="F15" s="3"/>
    </row>
    <row r="16" spans="1:6" ht="15.75" thickBot="1" x14ac:dyDescent="0.3">
      <c r="A16" s="101"/>
      <c r="B16" s="102"/>
      <c r="C16" s="102"/>
      <c r="D16" s="102"/>
      <c r="E16" s="102"/>
      <c r="F16" s="108"/>
    </row>
    <row r="18" spans="3:5" ht="30" customHeight="1" x14ac:dyDescent="0.25">
      <c r="C18" s="288" t="s">
        <v>121</v>
      </c>
      <c r="D18" s="289" t="s">
        <v>122</v>
      </c>
      <c r="E18" s="290"/>
    </row>
    <row r="19" spans="3:5" x14ac:dyDescent="0.25">
      <c r="C19" s="288"/>
      <c r="D19" s="35" t="s">
        <v>123</v>
      </c>
      <c r="E19" s="35" t="s">
        <v>124</v>
      </c>
    </row>
    <row r="20" spans="3:5" x14ac:dyDescent="0.25">
      <c r="C20" s="20">
        <v>125</v>
      </c>
      <c r="D20" s="20">
        <v>125</v>
      </c>
      <c r="E20" s="20">
        <v>103</v>
      </c>
    </row>
    <row r="21" spans="3:5" x14ac:dyDescent="0.25">
      <c r="C21" s="20">
        <v>150</v>
      </c>
      <c r="D21" s="20">
        <v>150</v>
      </c>
      <c r="E21" s="20">
        <v>115</v>
      </c>
    </row>
    <row r="22" spans="3:5" x14ac:dyDescent="0.25">
      <c r="C22" s="20">
        <v>175</v>
      </c>
      <c r="D22" s="20">
        <v>175</v>
      </c>
      <c r="E22" s="20">
        <v>135</v>
      </c>
    </row>
    <row r="23" spans="3:5" x14ac:dyDescent="0.25">
      <c r="C23" s="20">
        <v>200</v>
      </c>
      <c r="D23" s="20">
        <v>200</v>
      </c>
      <c r="E23" s="20">
        <v>150</v>
      </c>
    </row>
  </sheetData>
  <sheetProtection algorithmName="SHA-512" hashValue="7QpTJSSKYu29F9M1g/w82o+Kq877uNAOFpGNDqwK8Bs8P5WKAtLQG1P7/ZvU/1xOAni3mGKxWo6N2WvSJnVXzg==" saltValue="QmjA1ej6SL1zhkIS+ryRTw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</customSheetView>
  </customSheetViews>
  <mergeCells count="11">
    <mergeCell ref="A1:F1"/>
    <mergeCell ref="B2:F2"/>
    <mergeCell ref="C18:C19"/>
    <mergeCell ref="D18:E18"/>
    <mergeCell ref="C10:C11"/>
    <mergeCell ref="D10:E10"/>
    <mergeCell ref="D3:E3"/>
    <mergeCell ref="D4:E4"/>
    <mergeCell ref="D5:E5"/>
    <mergeCell ref="D6:E6"/>
    <mergeCell ref="D7:E7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="95" zoomScaleNormal="95" workbookViewId="0">
      <selection activeCell="A2" sqref="A2"/>
    </sheetView>
  </sheetViews>
  <sheetFormatPr defaultRowHeight="18.75" x14ac:dyDescent="0.3"/>
  <cols>
    <col min="1" max="1" width="15.140625" style="199" bestFit="1" customWidth="1"/>
    <col min="2" max="2" width="8.28515625" style="39" bestFit="1" customWidth="1"/>
    <col min="3" max="3" width="7.85546875" style="39" customWidth="1"/>
    <col min="4" max="4" width="7.7109375" style="39" customWidth="1"/>
    <col min="5" max="5" width="8.5703125" style="39" customWidth="1"/>
    <col min="6" max="6" width="13.7109375" style="39" bestFit="1" customWidth="1"/>
    <col min="7" max="7" width="14.28515625" style="39" bestFit="1" customWidth="1"/>
    <col min="8" max="8" width="15.7109375" style="39" bestFit="1" customWidth="1"/>
    <col min="9" max="9" width="15" style="39" bestFit="1" customWidth="1"/>
    <col min="10" max="10" width="8.5703125" style="39" customWidth="1"/>
    <col min="11" max="11" width="8.7109375" style="39" customWidth="1"/>
    <col min="12" max="12" width="8.140625" style="39" customWidth="1"/>
    <col min="13" max="13" width="10.5703125" style="39" bestFit="1" customWidth="1"/>
    <col min="14" max="15" width="9.140625" style="39" bestFit="1" customWidth="1"/>
    <col min="16" max="18" width="8.5703125" style="39" bestFit="1" customWidth="1"/>
    <col min="19" max="16384" width="9.140625" style="39"/>
  </cols>
  <sheetData>
    <row r="1" spans="1:18" ht="39.75" customHeight="1" thickBot="1" x14ac:dyDescent="0.3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4" thickBot="1" x14ac:dyDescent="0.3">
      <c r="A2" s="92" t="s">
        <v>130</v>
      </c>
    </row>
    <row r="3" spans="1:18" x14ac:dyDescent="0.3">
      <c r="A3" s="198" t="s">
        <v>266</v>
      </c>
    </row>
    <row r="4" spans="1:18" ht="18.75" customHeight="1" x14ac:dyDescent="0.3">
      <c r="B4" s="299" t="s">
        <v>267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8" x14ac:dyDescent="0.3">
      <c r="B5" s="301" t="s">
        <v>109</v>
      </c>
      <c r="C5" s="302"/>
      <c r="D5" s="303"/>
      <c r="E5" s="206" t="s">
        <v>125</v>
      </c>
      <c r="F5" s="206" t="s">
        <v>276</v>
      </c>
      <c r="G5" s="207" t="s">
        <v>255</v>
      </c>
      <c r="H5" s="206" t="s">
        <v>256</v>
      </c>
      <c r="I5" s="206" t="s">
        <v>257</v>
      </c>
      <c r="J5" s="206" t="s">
        <v>6</v>
      </c>
      <c r="K5" s="206" t="s">
        <v>120</v>
      </c>
      <c r="L5" s="206" t="s">
        <v>126</v>
      </c>
      <c r="M5" s="206" t="s">
        <v>127</v>
      </c>
      <c r="N5" s="206" t="s">
        <v>269</v>
      </c>
      <c r="O5" s="206" t="s">
        <v>128</v>
      </c>
      <c r="P5" s="206" t="s">
        <v>270</v>
      </c>
      <c r="Q5" s="206" t="s">
        <v>271</v>
      </c>
      <c r="R5" s="206" t="s">
        <v>272</v>
      </c>
    </row>
    <row r="6" spans="1:18" x14ac:dyDescent="0.3">
      <c r="B6" s="137"/>
      <c r="C6" s="200">
        <v>20</v>
      </c>
      <c r="D6" s="201" t="s">
        <v>60</v>
      </c>
      <c r="E6" s="24">
        <v>0.19507576704000001</v>
      </c>
      <c r="F6" s="24">
        <v>0.22167129600000005</v>
      </c>
      <c r="G6" s="24">
        <v>0.22167129600000005</v>
      </c>
      <c r="H6" s="24">
        <v>0.2010624</v>
      </c>
      <c r="I6" s="24">
        <v>0.2010624</v>
      </c>
      <c r="J6" s="24">
        <v>0.15043991423999997</v>
      </c>
      <c r="K6" s="24">
        <v>0.15043991423999997</v>
      </c>
      <c r="L6" s="197">
        <v>0.16286054400000002</v>
      </c>
      <c r="M6" s="202">
        <v>0.20612037599999999</v>
      </c>
      <c r="N6" s="197">
        <v>0.16286054400000002</v>
      </c>
      <c r="O6" s="197">
        <v>0.13684809600000003</v>
      </c>
      <c r="P6" s="137"/>
      <c r="Q6" s="137"/>
      <c r="R6" s="137"/>
    </row>
    <row r="7" spans="1:18" x14ac:dyDescent="0.3">
      <c r="B7" s="137"/>
      <c r="C7" s="200">
        <v>25</v>
      </c>
      <c r="D7" s="203" t="s">
        <v>63</v>
      </c>
      <c r="E7" s="24">
        <v>0.34504318464000006</v>
      </c>
      <c r="F7" s="24">
        <v>0.39408230399999994</v>
      </c>
      <c r="G7" s="24">
        <v>0.39408230399999994</v>
      </c>
      <c r="H7" s="24">
        <v>0.36643622399999992</v>
      </c>
      <c r="I7" s="24">
        <v>0.36643622399999992</v>
      </c>
      <c r="J7" s="24">
        <v>0.27995928576000001</v>
      </c>
      <c r="K7" s="24">
        <v>0.27995928576000001</v>
      </c>
      <c r="L7" s="197">
        <v>0.25446960000000002</v>
      </c>
      <c r="M7" s="202">
        <v>0.32685206399999994</v>
      </c>
      <c r="N7" s="197">
        <v>0.25446959999999996</v>
      </c>
      <c r="O7" s="197">
        <v>0.21642482400000002</v>
      </c>
      <c r="P7" s="137"/>
      <c r="Q7" s="137"/>
      <c r="R7" s="137"/>
    </row>
    <row r="8" spans="1:18" x14ac:dyDescent="0.3">
      <c r="B8" s="137"/>
      <c r="C8" s="200">
        <v>32</v>
      </c>
      <c r="D8" s="203" t="s">
        <v>65</v>
      </c>
      <c r="E8" s="24">
        <v>0.55739021184000004</v>
      </c>
      <c r="F8" s="24">
        <v>0.63347222400000014</v>
      </c>
      <c r="G8" s="24">
        <v>0.63347222400000014</v>
      </c>
      <c r="H8" s="24">
        <v>0.57255660000000019</v>
      </c>
      <c r="I8" s="24">
        <v>0.57255660000000019</v>
      </c>
      <c r="J8" s="24">
        <v>0.46377084599999985</v>
      </c>
      <c r="K8" s="24">
        <v>0.46377084599999985</v>
      </c>
      <c r="L8" s="197">
        <v>0.41547660000000003</v>
      </c>
      <c r="M8" s="26">
        <v>0.53093040000000002</v>
      </c>
      <c r="N8" s="197">
        <v>0.41547659999999997</v>
      </c>
      <c r="O8" s="197">
        <v>0.35299017599999993</v>
      </c>
      <c r="P8" s="137"/>
      <c r="Q8" s="137"/>
      <c r="R8" s="137"/>
    </row>
    <row r="9" spans="1:18" x14ac:dyDescent="0.3">
      <c r="B9" s="137"/>
      <c r="C9" s="200">
        <v>40</v>
      </c>
      <c r="D9" s="203" t="s">
        <v>66</v>
      </c>
      <c r="E9" s="24">
        <v>0.96651826656000028</v>
      </c>
      <c r="F9" s="24">
        <v>1.0810324140000001</v>
      </c>
      <c r="G9" s="24">
        <v>1.0810324140000001</v>
      </c>
      <c r="H9" s="24">
        <v>1.0009844459999999</v>
      </c>
      <c r="I9" s="24">
        <v>1.0009844459999999</v>
      </c>
      <c r="J9" s="24">
        <v>0.82957875000000003</v>
      </c>
      <c r="K9" s="24">
        <v>0.82957875000000003</v>
      </c>
      <c r="L9" s="197">
        <v>0.65144217600000009</v>
      </c>
      <c r="M9" s="26">
        <v>0.83469170400000003</v>
      </c>
      <c r="N9" s="197">
        <v>0.65144217600000009</v>
      </c>
      <c r="O9" s="197">
        <v>0.55571762400000002</v>
      </c>
      <c r="P9" s="137"/>
      <c r="Q9" s="137"/>
      <c r="R9" s="137"/>
    </row>
    <row r="10" spans="1:18" x14ac:dyDescent="0.3">
      <c r="B10" s="137"/>
      <c r="C10" s="200">
        <v>50</v>
      </c>
      <c r="D10" s="203" t="s">
        <v>68</v>
      </c>
      <c r="E10" s="24">
        <v>1.3163960594399997</v>
      </c>
      <c r="F10" s="24">
        <v>1.4053083659999999</v>
      </c>
      <c r="G10" s="24">
        <v>1.4053083659999999</v>
      </c>
      <c r="H10" s="24">
        <v>1.3591818239999995</v>
      </c>
      <c r="I10" s="24">
        <v>1.3591818239999995</v>
      </c>
      <c r="J10" s="24">
        <v>1.1424896498399999</v>
      </c>
      <c r="K10" s="24">
        <v>1.1424896498399999</v>
      </c>
      <c r="L10" s="197">
        <v>1.0292195760000002</v>
      </c>
      <c r="M10" s="26">
        <v>1.3074082559999998</v>
      </c>
      <c r="N10" s="197">
        <v>1.0292195760000002</v>
      </c>
      <c r="O10" s="197">
        <v>0.86569929600000006</v>
      </c>
      <c r="P10" s="137"/>
      <c r="Q10" s="137"/>
      <c r="R10" s="137"/>
    </row>
    <row r="11" spans="1:18" x14ac:dyDescent="0.3">
      <c r="B11" s="204" t="s">
        <v>219</v>
      </c>
      <c r="C11" s="200">
        <v>63</v>
      </c>
      <c r="D11" s="203" t="s">
        <v>69</v>
      </c>
      <c r="E11" s="24">
        <v>2.163109724159999</v>
      </c>
      <c r="F11" s="24">
        <v>2.3157440460000003</v>
      </c>
      <c r="G11" s="24">
        <v>2.3157440460000003</v>
      </c>
      <c r="H11" s="24">
        <v>2.1895695360000005</v>
      </c>
      <c r="I11" s="24">
        <v>2.1895695360000005</v>
      </c>
      <c r="J11" s="24">
        <v>1.9027166373600002</v>
      </c>
      <c r="K11" s="24">
        <v>1.9027166373600002</v>
      </c>
      <c r="L11" s="197">
        <v>1.6331293439999999</v>
      </c>
      <c r="M11" s="26">
        <v>2.0749953839999997</v>
      </c>
      <c r="N11" s="197">
        <v>1.6331293440000003</v>
      </c>
      <c r="O11" s="197">
        <v>1.3854455999999997</v>
      </c>
      <c r="P11" s="137"/>
      <c r="Q11" s="137"/>
      <c r="R11" s="24">
        <v>2.0749953839999997</v>
      </c>
    </row>
    <row r="12" spans="1:18" x14ac:dyDescent="0.3">
      <c r="B12" s="204" t="s">
        <v>220</v>
      </c>
      <c r="C12" s="200">
        <v>75</v>
      </c>
      <c r="D12" s="203" t="s">
        <v>71</v>
      </c>
      <c r="E12" s="24">
        <v>3.08566569696</v>
      </c>
      <c r="F12" s="24">
        <v>3.7827691439999995</v>
      </c>
      <c r="G12" s="24">
        <v>3.7827691439999995</v>
      </c>
      <c r="H12" s="24">
        <v>3.6960609839999989</v>
      </c>
      <c r="I12" s="24">
        <v>3.6960609839999989</v>
      </c>
      <c r="J12" s="24">
        <v>2.7321241701600014</v>
      </c>
      <c r="K12" s="24">
        <v>2.7321241701600014</v>
      </c>
      <c r="L12" s="197">
        <v>2.3072224559999999</v>
      </c>
      <c r="M12" s="26">
        <v>2.9416685760000001</v>
      </c>
      <c r="N12" s="197">
        <v>2.3072224560000003</v>
      </c>
      <c r="O12" s="197">
        <v>1.9635</v>
      </c>
      <c r="P12" s="137"/>
      <c r="Q12" s="137"/>
      <c r="R12" s="24">
        <v>3.2573365439999997</v>
      </c>
    </row>
    <row r="13" spans="1:18" x14ac:dyDescent="0.3">
      <c r="B13" s="204" t="s">
        <v>221</v>
      </c>
      <c r="C13" s="200">
        <v>90</v>
      </c>
      <c r="D13" s="203" t="s">
        <v>73</v>
      </c>
      <c r="E13" s="24">
        <v>4.7685768345600001</v>
      </c>
      <c r="F13" s="24">
        <v>5.306822136000001</v>
      </c>
      <c r="G13" s="24">
        <v>5.306822136000001</v>
      </c>
      <c r="H13" s="24">
        <v>5.1402937740000008</v>
      </c>
      <c r="I13" s="24">
        <v>5.1402937740000008</v>
      </c>
      <c r="J13" s="24">
        <v>4.2614198642400014</v>
      </c>
      <c r="K13" s="24">
        <v>4.2614198642400014</v>
      </c>
      <c r="L13" s="197">
        <v>3.3183150000000001</v>
      </c>
      <c r="M13" s="26">
        <v>4.2544803839999998</v>
      </c>
      <c r="N13" s="197">
        <v>3.3183150000000001</v>
      </c>
      <c r="O13" s="197">
        <v>2.8274400000000002</v>
      </c>
      <c r="P13" s="137"/>
      <c r="Q13" s="137"/>
      <c r="R13" s="24">
        <v>4.1624943359999991</v>
      </c>
    </row>
    <row r="14" spans="1:18" x14ac:dyDescent="0.3">
      <c r="B14" s="204" t="s">
        <v>222</v>
      </c>
      <c r="C14" s="137"/>
      <c r="D14" s="203" t="s">
        <v>75</v>
      </c>
      <c r="E14" s="24">
        <v>8.213012309039998</v>
      </c>
      <c r="F14" s="24">
        <v>8.9584608960000018</v>
      </c>
      <c r="G14" s="24">
        <v>8.9584608960000018</v>
      </c>
      <c r="H14" s="24">
        <v>8.7085858859999981</v>
      </c>
      <c r="I14" s="24">
        <v>8.7085858859999981</v>
      </c>
      <c r="J14" s="24">
        <v>7.417280214959999</v>
      </c>
      <c r="K14" s="24">
        <v>7.417280214959999</v>
      </c>
      <c r="L14" s="137"/>
      <c r="M14" s="137"/>
      <c r="N14" s="137"/>
      <c r="O14" s="137"/>
      <c r="P14" s="137"/>
      <c r="Q14" s="137"/>
      <c r="R14" s="24">
        <v>6.9989821440000011</v>
      </c>
    </row>
    <row r="15" spans="1:18" x14ac:dyDescent="0.3">
      <c r="B15" s="204" t="s">
        <v>258</v>
      </c>
      <c r="C15" s="137"/>
      <c r="D15" s="203" t="s">
        <v>76</v>
      </c>
      <c r="E15" s="26">
        <v>12.908237496000003</v>
      </c>
      <c r="F15" s="137"/>
      <c r="G15" s="137"/>
      <c r="H15" s="24">
        <v>13.314132215999997</v>
      </c>
      <c r="I15" s="24">
        <v>13.314132215999997</v>
      </c>
      <c r="J15" s="24">
        <v>11.735931863040003</v>
      </c>
      <c r="K15" s="24">
        <v>11.735931863040003</v>
      </c>
      <c r="L15" s="137"/>
      <c r="M15" s="137"/>
      <c r="N15" s="137"/>
      <c r="O15" s="137"/>
      <c r="P15" s="137"/>
      <c r="Q15" s="137"/>
      <c r="R15" s="137"/>
    </row>
    <row r="16" spans="1:18" x14ac:dyDescent="0.3">
      <c r="B16" s="204" t="s">
        <v>223</v>
      </c>
      <c r="C16" s="137"/>
      <c r="D16" s="203" t="s">
        <v>78</v>
      </c>
      <c r="E16" s="24">
        <v>18.645903682560004</v>
      </c>
      <c r="F16" s="137"/>
      <c r="G16" s="137"/>
      <c r="H16" s="24">
        <v>18.893590253999996</v>
      </c>
      <c r="I16" s="24">
        <v>18.893590253999996</v>
      </c>
      <c r="J16" s="24">
        <v>16.824249435840002</v>
      </c>
      <c r="K16" s="24">
        <v>16.824249435840002</v>
      </c>
      <c r="L16" s="137"/>
      <c r="M16" s="137"/>
      <c r="N16" s="137"/>
      <c r="O16" s="137"/>
      <c r="P16" s="24">
        <v>16.604267064000005</v>
      </c>
      <c r="Q16" s="24">
        <v>15.881447736</v>
      </c>
      <c r="R16" s="24">
        <v>14.784243935999996</v>
      </c>
    </row>
    <row r="17" spans="1:18" x14ac:dyDescent="0.3">
      <c r="B17" s="204" t="s">
        <v>218</v>
      </c>
      <c r="C17" s="137"/>
      <c r="D17" s="203" t="s">
        <v>80</v>
      </c>
      <c r="E17" s="24">
        <v>32.28269486904</v>
      </c>
      <c r="F17" s="137"/>
      <c r="G17" s="137"/>
      <c r="H17" s="137"/>
      <c r="I17" s="137"/>
      <c r="J17" s="24">
        <v>29.467964525999996</v>
      </c>
      <c r="K17" s="24">
        <v>29.467964525999996</v>
      </c>
      <c r="L17" s="137"/>
      <c r="M17" s="137"/>
      <c r="N17" s="137"/>
      <c r="O17" s="137"/>
      <c r="P17" s="24">
        <v>25.958443896000002</v>
      </c>
      <c r="Q17" s="24">
        <v>23.073449784000001</v>
      </c>
      <c r="R17" s="24">
        <v>24.828724536000006</v>
      </c>
    </row>
    <row r="20" spans="1:18" x14ac:dyDescent="0.3">
      <c r="A20" s="198" t="s">
        <v>96</v>
      </c>
    </row>
    <row r="21" spans="1:18" x14ac:dyDescent="0.3">
      <c r="B21" s="299" t="s">
        <v>273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</row>
    <row r="22" spans="1:18" x14ac:dyDescent="0.3">
      <c r="B22" s="206" t="s">
        <v>109</v>
      </c>
      <c r="C22" s="206"/>
      <c r="D22" s="206"/>
      <c r="E22" s="206" t="s">
        <v>125</v>
      </c>
      <c r="F22" s="206" t="s">
        <v>254</v>
      </c>
      <c r="G22" s="206" t="s">
        <v>255</v>
      </c>
      <c r="H22" s="206" t="s">
        <v>256</v>
      </c>
      <c r="I22" s="206" t="s">
        <v>257</v>
      </c>
      <c r="J22" s="206" t="s">
        <v>6</v>
      </c>
      <c r="K22" s="206" t="s">
        <v>120</v>
      </c>
      <c r="L22" s="206" t="s">
        <v>126</v>
      </c>
      <c r="M22" s="206" t="s">
        <v>127</v>
      </c>
      <c r="N22" s="206" t="s">
        <v>269</v>
      </c>
      <c r="O22" s="206" t="s">
        <v>128</v>
      </c>
      <c r="P22" s="206" t="s">
        <v>270</v>
      </c>
      <c r="Q22" s="206" t="s">
        <v>271</v>
      </c>
      <c r="R22" s="206" t="s">
        <v>272</v>
      </c>
    </row>
    <row r="23" spans="1:18" x14ac:dyDescent="0.3">
      <c r="B23" s="206"/>
      <c r="C23" s="200">
        <v>20</v>
      </c>
      <c r="D23" s="201" t="s">
        <v>60</v>
      </c>
      <c r="E23" s="196">
        <v>1.27</v>
      </c>
      <c r="F23" s="196">
        <v>1.06</v>
      </c>
      <c r="G23" s="196">
        <v>1.1100000000000001</v>
      </c>
      <c r="H23" s="196">
        <v>1.22</v>
      </c>
      <c r="I23" s="196">
        <v>1.27</v>
      </c>
      <c r="J23" s="197">
        <v>0.33716666666666667</v>
      </c>
      <c r="K23" s="197">
        <v>0.30166666666666669</v>
      </c>
      <c r="L23" s="24">
        <v>0.14766666666666667</v>
      </c>
      <c r="M23" s="206"/>
      <c r="N23" s="24">
        <v>0.14766666666666667</v>
      </c>
      <c r="O23" s="197">
        <v>0.17224999999999999</v>
      </c>
      <c r="P23" s="206"/>
      <c r="Q23" s="206"/>
      <c r="R23" s="206"/>
    </row>
    <row r="24" spans="1:18" x14ac:dyDescent="0.3">
      <c r="B24" s="206"/>
      <c r="C24" s="200">
        <v>25</v>
      </c>
      <c r="D24" s="203" t="s">
        <v>63</v>
      </c>
      <c r="E24" s="196">
        <v>1.69</v>
      </c>
      <c r="F24" s="196">
        <v>1.37</v>
      </c>
      <c r="G24" s="196">
        <v>1.44</v>
      </c>
      <c r="H24" s="196">
        <v>1.58</v>
      </c>
      <c r="I24" s="196">
        <v>1.66</v>
      </c>
      <c r="J24" s="197">
        <v>0.44166666666666665</v>
      </c>
      <c r="K24" s="197">
        <v>0.41250000000000003</v>
      </c>
      <c r="L24" s="24">
        <v>0.22900000000000001</v>
      </c>
      <c r="M24" s="206"/>
      <c r="N24" s="24">
        <v>0.22900000000000001</v>
      </c>
      <c r="O24" s="197">
        <v>0.26800000000000002</v>
      </c>
      <c r="P24" s="206"/>
      <c r="Q24" s="206"/>
      <c r="R24" s="206"/>
    </row>
    <row r="25" spans="1:18" x14ac:dyDescent="0.3">
      <c r="B25" s="206"/>
      <c r="C25" s="200">
        <v>32</v>
      </c>
      <c r="D25" s="203" t="s">
        <v>65</v>
      </c>
      <c r="E25" s="196">
        <v>2.5</v>
      </c>
      <c r="F25" s="196">
        <v>2.0299999999999998</v>
      </c>
      <c r="G25" s="196">
        <v>2.12</v>
      </c>
      <c r="H25" s="196">
        <v>2.5099999999999998</v>
      </c>
      <c r="I25" s="196">
        <v>2.6</v>
      </c>
      <c r="J25" s="197">
        <v>0.65333333333333332</v>
      </c>
      <c r="K25" s="197">
        <v>0.60233333333333328</v>
      </c>
      <c r="L25" s="24">
        <v>0.3686666666666667</v>
      </c>
      <c r="M25" s="24">
        <v>0.25974999999999998</v>
      </c>
      <c r="N25" s="24">
        <v>0.3686666666666667</v>
      </c>
      <c r="O25" s="197">
        <v>0.43275000000000002</v>
      </c>
      <c r="P25" s="206"/>
      <c r="Q25" s="206"/>
      <c r="R25" s="206"/>
    </row>
    <row r="26" spans="1:18" x14ac:dyDescent="0.3">
      <c r="B26" s="206"/>
      <c r="C26" s="200">
        <v>40</v>
      </c>
      <c r="D26" s="203" t="s">
        <v>66</v>
      </c>
      <c r="E26" s="196">
        <v>3.39</v>
      </c>
      <c r="F26" s="196">
        <v>2.6</v>
      </c>
      <c r="G26" s="196">
        <v>2.72</v>
      </c>
      <c r="H26" s="196">
        <v>3.23</v>
      </c>
      <c r="I26" s="196">
        <v>3.34</v>
      </c>
      <c r="J26" s="197">
        <v>0.90166666666666673</v>
      </c>
      <c r="K26" s="197">
        <v>0.83166666666666667</v>
      </c>
      <c r="L26" s="24">
        <v>0.56666666666666665</v>
      </c>
      <c r="M26" s="24">
        <v>0.40150000000000002</v>
      </c>
      <c r="N26" s="24">
        <v>0.56666666666666665</v>
      </c>
      <c r="O26" s="197">
        <v>0.66925000000000001</v>
      </c>
      <c r="P26" s="206"/>
      <c r="Q26" s="206"/>
      <c r="R26" s="206"/>
    </row>
    <row r="27" spans="1:18" x14ac:dyDescent="0.3">
      <c r="B27" s="206"/>
      <c r="C27" s="200">
        <v>50</v>
      </c>
      <c r="D27" s="203" t="s">
        <v>68</v>
      </c>
      <c r="E27" s="196">
        <v>4.05</v>
      </c>
      <c r="F27" s="196">
        <v>3.35</v>
      </c>
      <c r="G27" s="196">
        <v>3.49</v>
      </c>
      <c r="H27" s="196">
        <v>3.71</v>
      </c>
      <c r="I27" s="196">
        <v>3.84</v>
      </c>
      <c r="J27" s="197">
        <v>1.1003333333333334</v>
      </c>
      <c r="K27" s="197">
        <v>1.0178333333333334</v>
      </c>
      <c r="L27" s="24">
        <v>0.8929999999999999</v>
      </c>
      <c r="M27" s="24">
        <v>0.62749999999999995</v>
      </c>
      <c r="N27" s="24">
        <v>0.8929999999999999</v>
      </c>
      <c r="O27" s="197">
        <v>1.0362499999999999</v>
      </c>
      <c r="P27" s="206"/>
      <c r="Q27" s="206"/>
      <c r="R27" s="206"/>
    </row>
    <row r="28" spans="1:18" x14ac:dyDescent="0.3">
      <c r="B28" s="204" t="s">
        <v>219</v>
      </c>
      <c r="C28" s="200">
        <v>63</v>
      </c>
      <c r="D28" s="203" t="s">
        <v>69</v>
      </c>
      <c r="E28" s="196">
        <v>5.44</v>
      </c>
      <c r="F28" s="196">
        <v>4.24</v>
      </c>
      <c r="G28" s="196">
        <v>4.41</v>
      </c>
      <c r="H28" s="196">
        <v>5.23</v>
      </c>
      <c r="I28" s="196">
        <v>5.4</v>
      </c>
      <c r="J28" s="197">
        <v>1.5415000000000001</v>
      </c>
      <c r="K28" s="197">
        <v>1.4173333333333333</v>
      </c>
      <c r="L28" s="24">
        <v>1.4123333333333334</v>
      </c>
      <c r="M28" s="24">
        <v>0.99250000000000005</v>
      </c>
      <c r="N28" s="24">
        <v>1.4123333333333334</v>
      </c>
      <c r="O28" s="197">
        <v>1.647</v>
      </c>
      <c r="P28" s="206"/>
      <c r="Q28" s="206"/>
      <c r="R28" s="24">
        <v>1.1396666666666666</v>
      </c>
    </row>
    <row r="29" spans="1:18" x14ac:dyDescent="0.3">
      <c r="B29" s="204" t="s">
        <v>220</v>
      </c>
      <c r="C29" s="200">
        <v>75</v>
      </c>
      <c r="D29" s="203" t="s">
        <v>71</v>
      </c>
      <c r="E29" s="196">
        <v>8.6300000000000008</v>
      </c>
      <c r="F29" s="196">
        <v>6.01</v>
      </c>
      <c r="G29" s="196">
        <v>6.22</v>
      </c>
      <c r="H29" s="196">
        <v>6.69</v>
      </c>
      <c r="I29" s="196">
        <v>6.91</v>
      </c>
      <c r="J29" s="197">
        <v>2.2763333333333331</v>
      </c>
      <c r="K29" s="197">
        <v>2.1315</v>
      </c>
      <c r="L29" s="24">
        <v>1.9976666666666667</v>
      </c>
      <c r="M29" s="24">
        <v>1.4</v>
      </c>
      <c r="N29" s="24">
        <v>1.9976666666666667</v>
      </c>
      <c r="O29" s="197"/>
      <c r="P29" s="206"/>
      <c r="Q29" s="206"/>
      <c r="R29" s="24">
        <v>1.7618333333333334</v>
      </c>
    </row>
    <row r="30" spans="1:18" x14ac:dyDescent="0.3">
      <c r="B30" s="204" t="s">
        <v>221</v>
      </c>
      <c r="C30" s="200">
        <v>90</v>
      </c>
      <c r="D30" s="203" t="s">
        <v>73</v>
      </c>
      <c r="E30" s="196">
        <v>11.29</v>
      </c>
      <c r="F30" s="196">
        <v>7.07</v>
      </c>
      <c r="G30" s="196">
        <v>7.32</v>
      </c>
      <c r="H30" s="196">
        <v>7.9</v>
      </c>
      <c r="I30" s="196">
        <v>8.1300000000000008</v>
      </c>
      <c r="J30" s="197">
        <v>3.2328333333333332</v>
      </c>
      <c r="K30" s="197">
        <v>2.9194999999999998</v>
      </c>
      <c r="L30" s="24">
        <v>2.8613333333333331</v>
      </c>
      <c r="M30" s="206"/>
      <c r="N30" s="24">
        <v>2.8613333333333331</v>
      </c>
      <c r="O30" s="197">
        <v>2.32525</v>
      </c>
      <c r="P30" s="206"/>
      <c r="Q30" s="206"/>
      <c r="R30" s="24">
        <v>2.3009999999999997</v>
      </c>
    </row>
    <row r="31" spans="1:18" x14ac:dyDescent="0.3">
      <c r="B31" s="204" t="s">
        <v>222</v>
      </c>
      <c r="C31" s="206"/>
      <c r="D31" s="203" t="s">
        <v>75</v>
      </c>
      <c r="E31" s="196">
        <v>16.079999999999998</v>
      </c>
      <c r="F31" s="196">
        <v>10.220000000000001</v>
      </c>
      <c r="G31" s="196">
        <v>10.55</v>
      </c>
      <c r="H31" s="196">
        <v>12.19</v>
      </c>
      <c r="I31" s="196">
        <v>12.5</v>
      </c>
      <c r="J31" s="24">
        <v>4.5744999999999996</v>
      </c>
      <c r="K31" s="197">
        <v>4.2358333333333329</v>
      </c>
      <c r="L31" s="206"/>
      <c r="M31" s="206"/>
      <c r="N31" s="206"/>
      <c r="O31" s="206"/>
      <c r="P31" s="206"/>
      <c r="Q31" s="206"/>
      <c r="R31" s="24">
        <v>3.8266666666666667</v>
      </c>
    </row>
    <row r="32" spans="1:18" x14ac:dyDescent="0.3">
      <c r="B32" s="204" t="s">
        <v>258</v>
      </c>
      <c r="C32" s="206"/>
      <c r="D32" s="203" t="s">
        <v>76</v>
      </c>
      <c r="E32" s="26">
        <v>21.74</v>
      </c>
      <c r="F32" s="206"/>
      <c r="G32" s="206"/>
      <c r="H32" s="196">
        <v>15.81</v>
      </c>
      <c r="I32" s="196">
        <v>16.2</v>
      </c>
      <c r="J32" s="206"/>
      <c r="K32" s="206"/>
      <c r="L32" s="206"/>
      <c r="M32" s="206"/>
      <c r="N32" s="206"/>
      <c r="O32" s="206"/>
      <c r="P32" s="206"/>
      <c r="Q32" s="206"/>
      <c r="R32" s="206"/>
    </row>
    <row r="33" spans="1:18" x14ac:dyDescent="0.3">
      <c r="B33" s="204" t="s">
        <v>223</v>
      </c>
      <c r="C33" s="206"/>
      <c r="D33" s="203" t="s">
        <v>78</v>
      </c>
      <c r="E33" s="196">
        <v>28.26</v>
      </c>
      <c r="F33" s="206"/>
      <c r="G33" s="206"/>
      <c r="H33" s="196">
        <v>19.739999999999998</v>
      </c>
      <c r="I33" s="196">
        <v>20.22</v>
      </c>
      <c r="J33" s="24">
        <v>8.3170000000000002</v>
      </c>
      <c r="K33" s="197">
        <v>7.8946666666666667</v>
      </c>
      <c r="L33" s="206"/>
      <c r="M33" s="206"/>
      <c r="N33" s="206"/>
      <c r="O33" s="206"/>
      <c r="P33" s="24">
        <v>5.3848333333333329</v>
      </c>
      <c r="Q33" s="24">
        <v>6.51</v>
      </c>
      <c r="R33" s="24">
        <v>8.2164999999999999</v>
      </c>
    </row>
    <row r="34" spans="1:18" x14ac:dyDescent="0.3">
      <c r="B34" s="204" t="s">
        <v>218</v>
      </c>
      <c r="C34" s="206"/>
      <c r="D34" s="203" t="s">
        <v>80</v>
      </c>
      <c r="E34" s="196">
        <v>42.55</v>
      </c>
      <c r="F34" s="206"/>
      <c r="G34" s="206"/>
      <c r="H34" s="206"/>
      <c r="I34" s="206"/>
      <c r="J34" s="206"/>
      <c r="K34" s="197">
        <v>11.959666666666665</v>
      </c>
      <c r="L34" s="206"/>
      <c r="M34" s="206"/>
      <c r="N34" s="206"/>
      <c r="O34" s="206"/>
      <c r="P34" s="24">
        <v>8.5333333333333332</v>
      </c>
      <c r="Q34" s="24">
        <v>10.3</v>
      </c>
      <c r="R34" s="24">
        <v>12.902666666666667</v>
      </c>
    </row>
    <row r="35" spans="1:18" x14ac:dyDescent="0.3">
      <c r="O35" s="205"/>
    </row>
    <row r="37" spans="1:18" x14ac:dyDescent="0.3">
      <c r="A37" s="198" t="s">
        <v>274</v>
      </c>
    </row>
    <row r="38" spans="1:18" x14ac:dyDescent="0.3">
      <c r="B38" s="299" t="s">
        <v>275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</row>
    <row r="39" spans="1:18" x14ac:dyDescent="0.3">
      <c r="B39" s="206" t="s">
        <v>109</v>
      </c>
      <c r="C39" s="206"/>
      <c r="D39" s="206"/>
      <c r="E39" s="206" t="s">
        <v>125</v>
      </c>
      <c r="F39" s="206" t="s">
        <v>268</v>
      </c>
      <c r="G39" s="206" t="s">
        <v>255</v>
      </c>
      <c r="H39" s="206" t="s">
        <v>256</v>
      </c>
      <c r="I39" s="206" t="s">
        <v>257</v>
      </c>
      <c r="J39" s="206" t="s">
        <v>6</v>
      </c>
      <c r="K39" s="206" t="s">
        <v>120</v>
      </c>
      <c r="L39" s="206" t="s">
        <v>126</v>
      </c>
      <c r="M39" s="206" t="s">
        <v>127</v>
      </c>
      <c r="N39" s="206" t="s">
        <v>269</v>
      </c>
      <c r="O39" s="206" t="s">
        <v>128</v>
      </c>
      <c r="P39" s="206" t="s">
        <v>270</v>
      </c>
      <c r="Q39" s="206" t="s">
        <v>271</v>
      </c>
      <c r="R39" s="206" t="s">
        <v>272</v>
      </c>
    </row>
    <row r="40" spans="1:18" x14ac:dyDescent="0.3">
      <c r="B40" s="206"/>
      <c r="C40" s="200">
        <v>20</v>
      </c>
      <c r="D40" s="201" t="s">
        <v>60</v>
      </c>
      <c r="E40" s="24">
        <f t="shared" ref="E40:L50" si="0">E6+E23</f>
        <v>1.4650757670400001</v>
      </c>
      <c r="F40" s="24">
        <f t="shared" si="0"/>
        <v>1.2816712960000001</v>
      </c>
      <c r="G40" s="24">
        <f t="shared" si="0"/>
        <v>1.3316712960000001</v>
      </c>
      <c r="H40" s="24">
        <f t="shared" si="0"/>
        <v>1.4210624000000001</v>
      </c>
      <c r="I40" s="24">
        <f t="shared" si="0"/>
        <v>1.4710624000000001</v>
      </c>
      <c r="J40" s="24">
        <f t="shared" si="0"/>
        <v>0.48760658090666664</v>
      </c>
      <c r="K40" s="24">
        <f t="shared" si="0"/>
        <v>0.45210658090666667</v>
      </c>
      <c r="L40" s="24">
        <f t="shared" si="0"/>
        <v>0.31052721066666666</v>
      </c>
      <c r="M40" s="206"/>
      <c r="N40" s="24">
        <f t="shared" ref="N40:O47" si="1">N6+N23</f>
        <v>0.31052721066666666</v>
      </c>
      <c r="O40" s="24">
        <f t="shared" si="1"/>
        <v>0.30909809600000004</v>
      </c>
      <c r="P40" s="206"/>
      <c r="Q40" s="206"/>
      <c r="R40" s="206"/>
    </row>
    <row r="41" spans="1:18" x14ac:dyDescent="0.3">
      <c r="B41" s="206"/>
      <c r="C41" s="200">
        <v>25</v>
      </c>
      <c r="D41" s="203" t="s">
        <v>63</v>
      </c>
      <c r="E41" s="24">
        <f t="shared" si="0"/>
        <v>2.0350431846400001</v>
      </c>
      <c r="F41" s="24">
        <f t="shared" si="0"/>
        <v>1.764082304</v>
      </c>
      <c r="G41" s="24">
        <f t="shared" si="0"/>
        <v>1.8340823039999998</v>
      </c>
      <c r="H41" s="24">
        <f t="shared" si="0"/>
        <v>1.9464362239999999</v>
      </c>
      <c r="I41" s="24">
        <f t="shared" si="0"/>
        <v>2.0264362239999998</v>
      </c>
      <c r="J41" s="24">
        <f t="shared" si="0"/>
        <v>0.72162595242666661</v>
      </c>
      <c r="K41" s="24">
        <f t="shared" si="0"/>
        <v>0.69245928576000004</v>
      </c>
      <c r="L41" s="24">
        <f t="shared" si="0"/>
        <v>0.48346960000000005</v>
      </c>
      <c r="M41" s="206"/>
      <c r="N41" s="24">
        <f t="shared" si="1"/>
        <v>0.48346959999999994</v>
      </c>
      <c r="O41" s="24">
        <f t="shared" si="1"/>
        <v>0.48442482400000003</v>
      </c>
      <c r="P41" s="206"/>
      <c r="Q41" s="206"/>
      <c r="R41" s="206"/>
    </row>
    <row r="42" spans="1:18" x14ac:dyDescent="0.3">
      <c r="B42" s="206"/>
      <c r="C42" s="200">
        <v>32</v>
      </c>
      <c r="D42" s="203" t="s">
        <v>65</v>
      </c>
      <c r="E42" s="24">
        <f t="shared" si="0"/>
        <v>3.05739021184</v>
      </c>
      <c r="F42" s="24">
        <f t="shared" si="0"/>
        <v>2.6634722239999999</v>
      </c>
      <c r="G42" s="24">
        <f t="shared" si="0"/>
        <v>2.7534722240000002</v>
      </c>
      <c r="H42" s="24">
        <f t="shared" si="0"/>
        <v>3.0825566000000002</v>
      </c>
      <c r="I42" s="24">
        <f t="shared" si="0"/>
        <v>3.1725566000000001</v>
      </c>
      <c r="J42" s="24">
        <f t="shared" si="0"/>
        <v>1.1171041793333332</v>
      </c>
      <c r="K42" s="24">
        <f t="shared" si="0"/>
        <v>1.0661041793333332</v>
      </c>
      <c r="L42" s="24">
        <f t="shared" si="0"/>
        <v>0.78414326666666678</v>
      </c>
      <c r="M42" s="24">
        <f>M8+M25</f>
        <v>0.79068040000000006</v>
      </c>
      <c r="N42" s="24">
        <f t="shared" si="1"/>
        <v>0.78414326666666667</v>
      </c>
      <c r="O42" s="24">
        <f t="shared" si="1"/>
        <v>0.78574017600000001</v>
      </c>
      <c r="P42" s="206"/>
      <c r="Q42" s="206"/>
      <c r="R42" s="206"/>
    </row>
    <row r="43" spans="1:18" x14ac:dyDescent="0.3">
      <c r="B43" s="206"/>
      <c r="C43" s="200">
        <v>40</v>
      </c>
      <c r="D43" s="203" t="s">
        <v>66</v>
      </c>
      <c r="E43" s="24">
        <f t="shared" si="0"/>
        <v>4.3565182665600002</v>
      </c>
      <c r="F43" s="24">
        <f t="shared" si="0"/>
        <v>3.6810324140000001</v>
      </c>
      <c r="G43" s="24">
        <f t="shared" si="0"/>
        <v>3.8010324140000002</v>
      </c>
      <c r="H43" s="24">
        <f t="shared" si="0"/>
        <v>4.2309844459999999</v>
      </c>
      <c r="I43" s="24">
        <f t="shared" si="0"/>
        <v>4.3409844460000002</v>
      </c>
      <c r="J43" s="24">
        <f t="shared" si="0"/>
        <v>1.7312454166666669</v>
      </c>
      <c r="K43" s="24">
        <f t="shared" si="0"/>
        <v>1.6612454166666666</v>
      </c>
      <c r="L43" s="24">
        <f t="shared" si="0"/>
        <v>1.2181088426666666</v>
      </c>
      <c r="M43" s="24">
        <f>M9+M26</f>
        <v>1.2361917040000001</v>
      </c>
      <c r="N43" s="24">
        <f t="shared" si="1"/>
        <v>1.2181088426666666</v>
      </c>
      <c r="O43" s="24">
        <f t="shared" si="1"/>
        <v>1.224967624</v>
      </c>
      <c r="P43" s="206"/>
      <c r="Q43" s="206"/>
      <c r="R43" s="206"/>
    </row>
    <row r="44" spans="1:18" x14ac:dyDescent="0.3">
      <c r="B44" s="206"/>
      <c r="C44" s="200">
        <v>50</v>
      </c>
      <c r="D44" s="203" t="s">
        <v>68</v>
      </c>
      <c r="E44" s="24">
        <f t="shared" si="0"/>
        <v>5.3663960594399995</v>
      </c>
      <c r="F44" s="24">
        <f t="shared" si="0"/>
        <v>4.7553083659999995</v>
      </c>
      <c r="G44" s="24">
        <f t="shared" si="0"/>
        <v>4.8953083660000001</v>
      </c>
      <c r="H44" s="24">
        <f t="shared" si="0"/>
        <v>5.0691818239999993</v>
      </c>
      <c r="I44" s="24">
        <f t="shared" si="0"/>
        <v>5.1991818239999992</v>
      </c>
      <c r="J44" s="24">
        <f t="shared" si="0"/>
        <v>2.2428229831733333</v>
      </c>
      <c r="K44" s="24">
        <f t="shared" si="0"/>
        <v>2.1603229831733333</v>
      </c>
      <c r="L44" s="24">
        <f t="shared" si="0"/>
        <v>1.9222195760000003</v>
      </c>
      <c r="M44" s="24">
        <f>M10+M27</f>
        <v>1.9349082559999997</v>
      </c>
      <c r="N44" s="24">
        <f t="shared" si="1"/>
        <v>1.9222195760000003</v>
      </c>
      <c r="O44" s="24">
        <f t="shared" si="1"/>
        <v>1.901949296</v>
      </c>
      <c r="P44" s="206"/>
      <c r="Q44" s="206"/>
      <c r="R44" s="206"/>
    </row>
    <row r="45" spans="1:18" x14ac:dyDescent="0.3">
      <c r="B45" s="204" t="s">
        <v>219</v>
      </c>
      <c r="C45" s="200">
        <v>63</v>
      </c>
      <c r="D45" s="203" t="s">
        <v>69</v>
      </c>
      <c r="E45" s="24">
        <f t="shared" si="0"/>
        <v>7.6031097241599994</v>
      </c>
      <c r="F45" s="24">
        <f t="shared" si="0"/>
        <v>6.5557440460000009</v>
      </c>
      <c r="G45" s="24">
        <f t="shared" si="0"/>
        <v>6.7257440460000009</v>
      </c>
      <c r="H45" s="24">
        <f t="shared" si="0"/>
        <v>7.4195695360000009</v>
      </c>
      <c r="I45" s="24">
        <f t="shared" si="0"/>
        <v>7.5895695360000008</v>
      </c>
      <c r="J45" s="24">
        <f t="shared" si="0"/>
        <v>3.4442166373600003</v>
      </c>
      <c r="K45" s="24">
        <f t="shared" si="0"/>
        <v>3.3200499706933337</v>
      </c>
      <c r="L45" s="24">
        <f t="shared" si="0"/>
        <v>3.0454626773333331</v>
      </c>
      <c r="M45" s="24">
        <f>M11+M28</f>
        <v>3.0674953839999999</v>
      </c>
      <c r="N45" s="24">
        <f t="shared" si="1"/>
        <v>3.045462677333334</v>
      </c>
      <c r="O45" s="24">
        <f t="shared" si="1"/>
        <v>3.0324456</v>
      </c>
      <c r="P45" s="206"/>
      <c r="Q45" s="206"/>
      <c r="R45" s="24">
        <f>R11+R28</f>
        <v>3.2146620506666661</v>
      </c>
    </row>
    <row r="46" spans="1:18" x14ac:dyDescent="0.3">
      <c r="B46" s="204" t="s">
        <v>220</v>
      </c>
      <c r="C46" s="200">
        <v>75</v>
      </c>
      <c r="D46" s="203" t="s">
        <v>71</v>
      </c>
      <c r="E46" s="24">
        <f t="shared" si="0"/>
        <v>11.71566569696</v>
      </c>
      <c r="F46" s="24">
        <f t="shared" si="0"/>
        <v>9.7927691439999993</v>
      </c>
      <c r="G46" s="24">
        <f t="shared" si="0"/>
        <v>10.002769143999998</v>
      </c>
      <c r="H46" s="24">
        <f t="shared" si="0"/>
        <v>10.386060984</v>
      </c>
      <c r="I46" s="24">
        <f t="shared" si="0"/>
        <v>10.606060983999999</v>
      </c>
      <c r="J46" s="24">
        <f t="shared" si="0"/>
        <v>5.0084575034933341</v>
      </c>
      <c r="K46" s="24">
        <f t="shared" si="0"/>
        <v>4.8636241701600014</v>
      </c>
      <c r="L46" s="24">
        <f t="shared" si="0"/>
        <v>4.3048891226666663</v>
      </c>
      <c r="M46" s="24">
        <f>M12+M29</f>
        <v>4.341668576</v>
      </c>
      <c r="N46" s="24">
        <f t="shared" si="1"/>
        <v>4.3048891226666672</v>
      </c>
      <c r="O46" s="24">
        <f t="shared" si="1"/>
        <v>1.9635</v>
      </c>
      <c r="P46" s="206"/>
      <c r="Q46" s="206"/>
      <c r="R46" s="24">
        <f t="shared" ref="R46:R51" si="2">R12+R29</f>
        <v>5.0191698773333329</v>
      </c>
    </row>
    <row r="47" spans="1:18" x14ac:dyDescent="0.3">
      <c r="B47" s="204" t="s">
        <v>221</v>
      </c>
      <c r="C47" s="200">
        <v>90</v>
      </c>
      <c r="D47" s="203" t="s">
        <v>73</v>
      </c>
      <c r="E47" s="24">
        <f t="shared" si="0"/>
        <v>16.05857683456</v>
      </c>
      <c r="F47" s="24">
        <f t="shared" si="0"/>
        <v>12.376822136000001</v>
      </c>
      <c r="G47" s="24">
        <f t="shared" si="0"/>
        <v>12.626822136000001</v>
      </c>
      <c r="H47" s="24">
        <f t="shared" si="0"/>
        <v>13.040293774000002</v>
      </c>
      <c r="I47" s="24">
        <f t="shared" si="0"/>
        <v>13.270293774000002</v>
      </c>
      <c r="J47" s="24">
        <f t="shared" si="0"/>
        <v>7.4942531975733342</v>
      </c>
      <c r="K47" s="24">
        <f t="shared" si="0"/>
        <v>7.1809198642400016</v>
      </c>
      <c r="L47" s="24">
        <f t="shared" si="0"/>
        <v>6.1796483333333327</v>
      </c>
      <c r="M47" s="206"/>
      <c r="N47" s="24">
        <f t="shared" si="1"/>
        <v>6.1796483333333327</v>
      </c>
      <c r="O47" s="24">
        <f t="shared" si="1"/>
        <v>5.1526899999999998</v>
      </c>
      <c r="P47" s="206"/>
      <c r="Q47" s="206"/>
      <c r="R47" s="24">
        <f t="shared" si="2"/>
        <v>6.4634943359999983</v>
      </c>
    </row>
    <row r="48" spans="1:18" x14ac:dyDescent="0.3">
      <c r="B48" s="204" t="s">
        <v>222</v>
      </c>
      <c r="C48" s="206"/>
      <c r="D48" s="203" t="s">
        <v>75</v>
      </c>
      <c r="E48" s="24">
        <f t="shared" si="0"/>
        <v>24.293012309039995</v>
      </c>
      <c r="F48" s="24">
        <f t="shared" si="0"/>
        <v>19.178460896000004</v>
      </c>
      <c r="G48" s="24">
        <f t="shared" si="0"/>
        <v>19.508460896000003</v>
      </c>
      <c r="H48" s="24">
        <f t="shared" si="0"/>
        <v>20.898585885999999</v>
      </c>
      <c r="I48" s="24">
        <f t="shared" si="0"/>
        <v>21.208585885999998</v>
      </c>
      <c r="J48" s="24">
        <f t="shared" si="0"/>
        <v>11.991780214959999</v>
      </c>
      <c r="K48" s="24">
        <f t="shared" si="0"/>
        <v>11.653113548293332</v>
      </c>
      <c r="L48" s="206"/>
      <c r="M48" s="206"/>
      <c r="N48" s="206"/>
      <c r="O48" s="206"/>
      <c r="P48" s="206"/>
      <c r="Q48" s="206"/>
      <c r="R48" s="24">
        <f t="shared" si="2"/>
        <v>10.825648810666667</v>
      </c>
    </row>
    <row r="49" spans="1:18" x14ac:dyDescent="0.3">
      <c r="B49" s="204" t="s">
        <v>258</v>
      </c>
      <c r="C49" s="206"/>
      <c r="D49" s="203" t="s">
        <v>76</v>
      </c>
      <c r="E49" s="24">
        <f>E15+E32</f>
        <v>34.648237496</v>
      </c>
      <c r="F49" s="206"/>
      <c r="G49" s="206"/>
      <c r="H49" s="24">
        <f t="shared" si="0"/>
        <v>29.124132216</v>
      </c>
      <c r="I49" s="24">
        <f t="shared" si="0"/>
        <v>29.514132215999997</v>
      </c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x14ac:dyDescent="0.3">
      <c r="B50" s="204" t="s">
        <v>223</v>
      </c>
      <c r="C50" s="206"/>
      <c r="D50" s="203" t="s">
        <v>78</v>
      </c>
      <c r="E50" s="24">
        <f>E16+E33</f>
        <v>46.905903682560009</v>
      </c>
      <c r="F50" s="206"/>
      <c r="G50" s="206"/>
      <c r="H50" s="24">
        <f t="shared" si="0"/>
        <v>38.633590253999998</v>
      </c>
      <c r="I50" s="24">
        <f t="shared" si="0"/>
        <v>39.113590253999995</v>
      </c>
      <c r="J50" s="24">
        <f t="shared" si="0"/>
        <v>25.141249435840002</v>
      </c>
      <c r="K50" s="24">
        <f t="shared" si="0"/>
        <v>24.718916102506668</v>
      </c>
      <c r="L50" s="206"/>
      <c r="M50" s="206"/>
      <c r="N50" s="206"/>
      <c r="O50" s="206"/>
      <c r="P50" s="24">
        <f>P16+P33</f>
        <v>21.989100397333338</v>
      </c>
      <c r="Q50" s="24">
        <f>Q16+Q33</f>
        <v>22.391447736</v>
      </c>
      <c r="R50" s="24">
        <f t="shared" si="2"/>
        <v>23.000743935999996</v>
      </c>
    </row>
    <row r="51" spans="1:18" ht="15" x14ac:dyDescent="0.25">
      <c r="A51" s="39"/>
      <c r="B51" s="204" t="s">
        <v>218</v>
      </c>
      <c r="C51" s="206"/>
      <c r="D51" s="203" t="s">
        <v>80</v>
      </c>
      <c r="E51" s="24">
        <f>E17+E34</f>
        <v>74.832694869039997</v>
      </c>
      <c r="F51" s="206"/>
      <c r="G51" s="206"/>
      <c r="H51" s="206"/>
      <c r="I51" s="206"/>
      <c r="J51" s="206"/>
      <c r="K51" s="24">
        <f>K17+K34</f>
        <v>41.427631192666659</v>
      </c>
      <c r="L51" s="206"/>
      <c r="M51" s="206"/>
      <c r="N51" s="206"/>
      <c r="O51" s="206"/>
      <c r="P51" s="24">
        <f>P17+P34</f>
        <v>34.491777229333337</v>
      </c>
      <c r="Q51" s="24">
        <f>Q17+Q34</f>
        <v>33.373449784000002</v>
      </c>
      <c r="R51" s="24">
        <f t="shared" si="2"/>
        <v>37.731391202666671</v>
      </c>
    </row>
  </sheetData>
  <sheetProtection password="DD3A" sheet="1" objects="1" scenarios="1"/>
  <mergeCells count="5">
    <mergeCell ref="A1:R1"/>
    <mergeCell ref="B4:R4"/>
    <mergeCell ref="B5:D5"/>
    <mergeCell ref="B21:R21"/>
    <mergeCell ref="B38:R38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80" zoomScaleNormal="80" workbookViewId="0">
      <selection activeCell="D20" sqref="D20"/>
    </sheetView>
  </sheetViews>
  <sheetFormatPr defaultRowHeight="15" x14ac:dyDescent="0.25"/>
  <cols>
    <col min="1" max="1" width="20.7109375" style="39" customWidth="1"/>
    <col min="2" max="2" width="9.140625" style="39"/>
    <col min="3" max="3" width="10.7109375" style="39" customWidth="1"/>
    <col min="4" max="4" width="15.85546875" style="39" customWidth="1"/>
    <col min="5" max="5" width="10.7109375" style="39" customWidth="1"/>
    <col min="6" max="6" width="18.42578125" style="39" customWidth="1"/>
    <col min="7" max="9" width="10.7109375" style="39" customWidth="1"/>
    <col min="10" max="10" width="15.85546875" style="39" customWidth="1"/>
    <col min="11" max="11" width="12.140625" style="39" customWidth="1"/>
    <col min="12" max="15" width="10.7109375" style="39" customWidth="1"/>
    <col min="16" max="258" width="9.140625" style="39"/>
    <col min="259" max="271" width="10.7109375" style="39" customWidth="1"/>
    <col min="272" max="514" width="9.140625" style="39"/>
    <col min="515" max="527" width="10.7109375" style="39" customWidth="1"/>
    <col min="528" max="770" width="9.140625" style="39"/>
    <col min="771" max="783" width="10.7109375" style="39" customWidth="1"/>
    <col min="784" max="1026" width="9.140625" style="39"/>
    <col min="1027" max="1039" width="10.7109375" style="39" customWidth="1"/>
    <col min="1040" max="1282" width="9.140625" style="39"/>
    <col min="1283" max="1295" width="10.7109375" style="39" customWidth="1"/>
    <col min="1296" max="1538" width="9.140625" style="39"/>
    <col min="1539" max="1551" width="10.7109375" style="39" customWidth="1"/>
    <col min="1552" max="1794" width="9.140625" style="39"/>
    <col min="1795" max="1807" width="10.7109375" style="39" customWidth="1"/>
    <col min="1808" max="2050" width="9.140625" style="39"/>
    <col min="2051" max="2063" width="10.7109375" style="39" customWidth="1"/>
    <col min="2064" max="2306" width="9.140625" style="39"/>
    <col min="2307" max="2319" width="10.7109375" style="39" customWidth="1"/>
    <col min="2320" max="2562" width="9.140625" style="39"/>
    <col min="2563" max="2575" width="10.7109375" style="39" customWidth="1"/>
    <col min="2576" max="2818" width="9.140625" style="39"/>
    <col min="2819" max="2831" width="10.7109375" style="39" customWidth="1"/>
    <col min="2832" max="3074" width="9.140625" style="39"/>
    <col min="3075" max="3087" width="10.7109375" style="39" customWidth="1"/>
    <col min="3088" max="3330" width="9.140625" style="39"/>
    <col min="3331" max="3343" width="10.7109375" style="39" customWidth="1"/>
    <col min="3344" max="3586" width="9.140625" style="39"/>
    <col min="3587" max="3599" width="10.7109375" style="39" customWidth="1"/>
    <col min="3600" max="3842" width="9.140625" style="39"/>
    <col min="3843" max="3855" width="10.7109375" style="39" customWidth="1"/>
    <col min="3856" max="4098" width="9.140625" style="39"/>
    <col min="4099" max="4111" width="10.7109375" style="39" customWidth="1"/>
    <col min="4112" max="4354" width="9.140625" style="39"/>
    <col min="4355" max="4367" width="10.7109375" style="39" customWidth="1"/>
    <col min="4368" max="4610" width="9.140625" style="39"/>
    <col min="4611" max="4623" width="10.7109375" style="39" customWidth="1"/>
    <col min="4624" max="4866" width="9.140625" style="39"/>
    <col min="4867" max="4879" width="10.7109375" style="39" customWidth="1"/>
    <col min="4880" max="5122" width="9.140625" style="39"/>
    <col min="5123" max="5135" width="10.7109375" style="39" customWidth="1"/>
    <col min="5136" max="5378" width="9.140625" style="39"/>
    <col min="5379" max="5391" width="10.7109375" style="39" customWidth="1"/>
    <col min="5392" max="5634" width="9.140625" style="39"/>
    <col min="5635" max="5647" width="10.7109375" style="39" customWidth="1"/>
    <col min="5648" max="5890" width="9.140625" style="39"/>
    <col min="5891" max="5903" width="10.7109375" style="39" customWidth="1"/>
    <col min="5904" max="6146" width="9.140625" style="39"/>
    <col min="6147" max="6159" width="10.7109375" style="39" customWidth="1"/>
    <col min="6160" max="6402" width="9.140625" style="39"/>
    <col min="6403" max="6415" width="10.7109375" style="39" customWidth="1"/>
    <col min="6416" max="6658" width="9.140625" style="39"/>
    <col min="6659" max="6671" width="10.7109375" style="39" customWidth="1"/>
    <col min="6672" max="6914" width="9.140625" style="39"/>
    <col min="6915" max="6927" width="10.7109375" style="39" customWidth="1"/>
    <col min="6928" max="7170" width="9.140625" style="39"/>
    <col min="7171" max="7183" width="10.7109375" style="39" customWidth="1"/>
    <col min="7184" max="7426" width="9.140625" style="39"/>
    <col min="7427" max="7439" width="10.7109375" style="39" customWidth="1"/>
    <col min="7440" max="7682" width="9.140625" style="39"/>
    <col min="7683" max="7695" width="10.7109375" style="39" customWidth="1"/>
    <col min="7696" max="7938" width="9.140625" style="39"/>
    <col min="7939" max="7951" width="10.7109375" style="39" customWidth="1"/>
    <col min="7952" max="8194" width="9.140625" style="39"/>
    <col min="8195" max="8207" width="10.7109375" style="39" customWidth="1"/>
    <col min="8208" max="8450" width="9.140625" style="39"/>
    <col min="8451" max="8463" width="10.7109375" style="39" customWidth="1"/>
    <col min="8464" max="8706" width="9.140625" style="39"/>
    <col min="8707" max="8719" width="10.7109375" style="39" customWidth="1"/>
    <col min="8720" max="8962" width="9.140625" style="39"/>
    <col min="8963" max="8975" width="10.7109375" style="39" customWidth="1"/>
    <col min="8976" max="9218" width="9.140625" style="39"/>
    <col min="9219" max="9231" width="10.7109375" style="39" customWidth="1"/>
    <col min="9232" max="9474" width="9.140625" style="39"/>
    <col min="9475" max="9487" width="10.7109375" style="39" customWidth="1"/>
    <col min="9488" max="9730" width="9.140625" style="39"/>
    <col min="9731" max="9743" width="10.7109375" style="39" customWidth="1"/>
    <col min="9744" max="9986" width="9.140625" style="39"/>
    <col min="9987" max="9999" width="10.7109375" style="39" customWidth="1"/>
    <col min="10000" max="10242" width="9.140625" style="39"/>
    <col min="10243" max="10255" width="10.7109375" style="39" customWidth="1"/>
    <col min="10256" max="10498" width="9.140625" style="39"/>
    <col min="10499" max="10511" width="10.7109375" style="39" customWidth="1"/>
    <col min="10512" max="10754" width="9.140625" style="39"/>
    <col min="10755" max="10767" width="10.7109375" style="39" customWidth="1"/>
    <col min="10768" max="11010" width="9.140625" style="39"/>
    <col min="11011" max="11023" width="10.7109375" style="39" customWidth="1"/>
    <col min="11024" max="11266" width="9.140625" style="39"/>
    <col min="11267" max="11279" width="10.7109375" style="39" customWidth="1"/>
    <col min="11280" max="11522" width="9.140625" style="39"/>
    <col min="11523" max="11535" width="10.7109375" style="39" customWidth="1"/>
    <col min="11536" max="11778" width="9.140625" style="39"/>
    <col min="11779" max="11791" width="10.7109375" style="39" customWidth="1"/>
    <col min="11792" max="12034" width="9.140625" style="39"/>
    <col min="12035" max="12047" width="10.7109375" style="39" customWidth="1"/>
    <col min="12048" max="12290" width="9.140625" style="39"/>
    <col min="12291" max="12303" width="10.7109375" style="39" customWidth="1"/>
    <col min="12304" max="12546" width="9.140625" style="39"/>
    <col min="12547" max="12559" width="10.7109375" style="39" customWidth="1"/>
    <col min="12560" max="12802" width="9.140625" style="39"/>
    <col min="12803" max="12815" width="10.7109375" style="39" customWidth="1"/>
    <col min="12816" max="13058" width="9.140625" style="39"/>
    <col min="13059" max="13071" width="10.7109375" style="39" customWidth="1"/>
    <col min="13072" max="13314" width="9.140625" style="39"/>
    <col min="13315" max="13327" width="10.7109375" style="39" customWidth="1"/>
    <col min="13328" max="13570" width="9.140625" style="39"/>
    <col min="13571" max="13583" width="10.7109375" style="39" customWidth="1"/>
    <col min="13584" max="13826" width="9.140625" style="39"/>
    <col min="13827" max="13839" width="10.7109375" style="39" customWidth="1"/>
    <col min="13840" max="14082" width="9.140625" style="39"/>
    <col min="14083" max="14095" width="10.7109375" style="39" customWidth="1"/>
    <col min="14096" max="14338" width="9.140625" style="39"/>
    <col min="14339" max="14351" width="10.7109375" style="39" customWidth="1"/>
    <col min="14352" max="14594" width="9.140625" style="39"/>
    <col min="14595" max="14607" width="10.7109375" style="39" customWidth="1"/>
    <col min="14608" max="14850" width="9.140625" style="39"/>
    <col min="14851" max="14863" width="10.7109375" style="39" customWidth="1"/>
    <col min="14864" max="15106" width="9.140625" style="39"/>
    <col min="15107" max="15119" width="10.7109375" style="39" customWidth="1"/>
    <col min="15120" max="15362" width="9.140625" style="39"/>
    <col min="15363" max="15375" width="10.7109375" style="39" customWidth="1"/>
    <col min="15376" max="15618" width="9.140625" style="39"/>
    <col min="15619" max="15631" width="10.7109375" style="39" customWidth="1"/>
    <col min="15632" max="15874" width="9.140625" style="39"/>
    <col min="15875" max="15887" width="10.7109375" style="39" customWidth="1"/>
    <col min="15888" max="16130" width="9.140625" style="39"/>
    <col min="16131" max="16143" width="10.7109375" style="39" customWidth="1"/>
    <col min="16144" max="16384" width="9.140625" style="39"/>
  </cols>
  <sheetData>
    <row r="1" spans="1:25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25" ht="38.25" customHeight="1" thickBot="1" x14ac:dyDescent="0.3">
      <c r="A2" s="92" t="s">
        <v>130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</row>
    <row r="3" spans="1:25" ht="23.25" x14ac:dyDescent="0.25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</row>
    <row r="4" spans="1:25" ht="27" customHeight="1" x14ac:dyDescent="0.25">
      <c r="A4" s="2"/>
      <c r="B4" s="4"/>
      <c r="C4" s="299" t="s">
        <v>160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6"/>
      <c r="P4" s="3"/>
    </row>
    <row r="5" spans="1:25" x14ac:dyDescent="0.2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</row>
    <row r="6" spans="1:25" x14ac:dyDescent="0.25">
      <c r="A6" s="2"/>
      <c r="B6" s="4"/>
      <c r="C6" s="43"/>
      <c r="D6" s="43"/>
      <c r="E6" s="43"/>
      <c r="F6" s="43"/>
      <c r="G6" s="4"/>
      <c r="H6" s="4"/>
      <c r="I6" s="4"/>
      <c r="J6" s="4"/>
      <c r="K6" s="4"/>
      <c r="L6" s="4"/>
      <c r="M6" s="4"/>
      <c r="N6" s="4"/>
      <c r="O6" s="4"/>
      <c r="P6" s="3"/>
    </row>
    <row r="7" spans="1:25" x14ac:dyDescent="0.25">
      <c r="A7" s="2"/>
      <c r="B7" s="4"/>
      <c r="C7" s="305" t="s">
        <v>161</v>
      </c>
      <c r="D7" s="305"/>
      <c r="E7" s="305"/>
      <c r="F7" s="305"/>
      <c r="G7" s="4"/>
      <c r="H7" s="305" t="s">
        <v>162</v>
      </c>
      <c r="I7" s="305"/>
      <c r="J7" s="305"/>
      <c r="K7" s="305"/>
      <c r="L7" s="4"/>
      <c r="M7" s="305" t="s">
        <v>163</v>
      </c>
      <c r="N7" s="305"/>
      <c r="O7" s="305"/>
      <c r="P7" s="3"/>
    </row>
    <row r="8" spans="1:25" x14ac:dyDescent="0.25">
      <c r="A8" s="2"/>
      <c r="B8" s="4"/>
      <c r="C8" s="163" t="s">
        <v>164</v>
      </c>
      <c r="D8" s="163"/>
      <c r="E8" s="73">
        <v>10</v>
      </c>
      <c r="F8" s="45" t="s">
        <v>165</v>
      </c>
      <c r="G8" s="181"/>
      <c r="H8" s="179" t="s">
        <v>166</v>
      </c>
      <c r="I8" s="179" t="s">
        <v>167</v>
      </c>
      <c r="J8" s="179" t="s">
        <v>168</v>
      </c>
      <c r="K8" s="179" t="s">
        <v>169</v>
      </c>
      <c r="L8" s="4"/>
      <c r="M8" s="179" t="s">
        <v>166</v>
      </c>
      <c r="N8" s="179" t="s">
        <v>170</v>
      </c>
      <c r="O8" s="179" t="s">
        <v>171</v>
      </c>
      <c r="P8" s="3"/>
    </row>
    <row r="9" spans="1:25" x14ac:dyDescent="0.25">
      <c r="A9" s="2"/>
      <c r="B9" s="4"/>
      <c r="C9" s="163" t="s">
        <v>172</v>
      </c>
      <c r="D9" s="163"/>
      <c r="E9" s="73">
        <v>9</v>
      </c>
      <c r="F9" s="45" t="s">
        <v>165</v>
      </c>
      <c r="G9" s="4"/>
      <c r="H9" s="165" t="s">
        <v>60</v>
      </c>
      <c r="I9" s="166">
        <v>4</v>
      </c>
      <c r="J9" s="46">
        <f t="shared" ref="J9:J18" si="0">(25.56*LN($E$13/I9)+100)/100</f>
        <v>1.2180658211197299</v>
      </c>
      <c r="K9" s="47">
        <f t="shared" ref="K9:K18" si="1">($E$10/$E$12)*I9</f>
        <v>218.49720913549444</v>
      </c>
      <c r="L9" s="4"/>
      <c r="M9" s="166" t="s">
        <v>173</v>
      </c>
      <c r="N9" s="48">
        <f>($E$10*1.8233*(($E$8+1)^-0.9678)*$E$11/3600)/([1]Sh40!B7)</f>
        <v>730.95013876788448</v>
      </c>
      <c r="O9" s="48">
        <f>($E$10*1.8233*(($E$9+1)^-0.9678)*$E$11/3600)/([1]Sh40!B7)</f>
        <v>801.58133054264329</v>
      </c>
      <c r="P9" s="3"/>
      <c r="W9" s="50"/>
      <c r="X9" s="50"/>
      <c r="Y9" s="50"/>
    </row>
    <row r="10" spans="1:25" x14ac:dyDescent="0.25">
      <c r="A10" s="2"/>
      <c r="B10" s="4"/>
      <c r="C10" s="163" t="s">
        <v>174</v>
      </c>
      <c r="D10" s="163"/>
      <c r="E10" s="74">
        <v>600</v>
      </c>
      <c r="F10" s="45" t="s">
        <v>175</v>
      </c>
      <c r="G10" s="4"/>
      <c r="H10" s="166" t="s">
        <v>63</v>
      </c>
      <c r="I10" s="166">
        <v>6.3</v>
      </c>
      <c r="J10" s="46">
        <f t="shared" si="0"/>
        <v>1.1019581735255763</v>
      </c>
      <c r="K10" s="47">
        <f t="shared" si="1"/>
        <v>344.13310438840375</v>
      </c>
      <c r="L10" s="4"/>
      <c r="M10" s="166" t="s">
        <v>176</v>
      </c>
      <c r="N10" s="48">
        <f>($E$10*1.8233*(($E$8+1)^-0.9678)*$E$11/3600)/([1]Sh40!B8)</f>
        <v>402.28894208778115</v>
      </c>
      <c r="O10" s="48">
        <f>($E$10*1.8233*(($E$9+1)^-0.9678)*$E$11/3600)/([1]Sh40!B8)</f>
        <v>441.16183629827111</v>
      </c>
      <c r="P10" s="3"/>
    </row>
    <row r="11" spans="1:25" x14ac:dyDescent="0.25">
      <c r="A11" s="2"/>
      <c r="B11" s="4"/>
      <c r="C11" s="163" t="s">
        <v>177</v>
      </c>
      <c r="D11" s="163"/>
      <c r="E11" s="75">
        <v>0.9</v>
      </c>
      <c r="F11" s="49"/>
      <c r="G11" s="4"/>
      <c r="H11" s="166" t="s">
        <v>65</v>
      </c>
      <c r="I11" s="166">
        <v>10</v>
      </c>
      <c r="J11" s="46">
        <f t="shared" si="0"/>
        <v>0.98386191005269596</v>
      </c>
      <c r="K11" s="47">
        <f t="shared" si="1"/>
        <v>546.24302283873612</v>
      </c>
      <c r="L11" s="4"/>
      <c r="M11" s="166" t="s">
        <v>60</v>
      </c>
      <c r="N11" s="48">
        <f>($E$10*1.8233*(($E$8+1)^-0.9678)*$E$11/3600)/([1]Sh40!B9)</f>
        <v>219.56887443444197</v>
      </c>
      <c r="O11" s="48">
        <f>($E$10*1.8233*(($E$9+1)^-0.9678)*$E$11/3600)/([1]Sh40!B9)</f>
        <v>240.7856585287559</v>
      </c>
      <c r="P11" s="3"/>
    </row>
    <row r="12" spans="1:25" x14ac:dyDescent="0.25">
      <c r="A12" s="2"/>
      <c r="B12" s="4"/>
      <c r="C12" s="163" t="s">
        <v>178</v>
      </c>
      <c r="D12" s="163"/>
      <c r="E12" s="88">
        <f>IF(E14="Subcrítico",E10/((11.92*SQRT((E8-E9)*(E8+E9+2)))),E10/(9.6*(E8+1)))</f>
        <v>10.984121991744583</v>
      </c>
      <c r="F12" s="88"/>
      <c r="G12" s="4"/>
      <c r="H12" s="166" t="s">
        <v>66</v>
      </c>
      <c r="I12" s="166">
        <v>16</v>
      </c>
      <c r="J12" s="46">
        <f t="shared" si="0"/>
        <v>0.86372898241748597</v>
      </c>
      <c r="K12" s="47">
        <f t="shared" si="1"/>
        <v>873.98883654197778</v>
      </c>
      <c r="L12" s="4"/>
      <c r="M12" s="166" t="s">
        <v>63</v>
      </c>
      <c r="N12" s="48">
        <f>($E$10*1.8233*(($E$8+1)^-0.9678)*$E$11/3600)/([1]Sh40!B10)</f>
        <v>137.68541398983746</v>
      </c>
      <c r="O12" s="48">
        <f>($E$10*1.8233*(($E$9+1)^-0.9678)*$E$11/3600)/([1]Sh40!B10)</f>
        <v>150.98985756856897</v>
      </c>
      <c r="P12" s="3"/>
    </row>
    <row r="13" spans="1:25" x14ac:dyDescent="0.25">
      <c r="A13" s="2"/>
      <c r="B13" s="4"/>
      <c r="C13" s="163" t="s">
        <v>179</v>
      </c>
      <c r="D13" s="163"/>
      <c r="E13" s="88">
        <f>E12/1.17</f>
        <v>9.3881384544825508</v>
      </c>
      <c r="F13" s="88"/>
      <c r="G13" s="4"/>
      <c r="H13" s="166" t="s">
        <v>68</v>
      </c>
      <c r="I13" s="166">
        <v>25</v>
      </c>
      <c r="J13" s="46">
        <f t="shared" si="0"/>
        <v>0.74965799898566188</v>
      </c>
      <c r="K13" s="47">
        <f t="shared" si="1"/>
        <v>1365.6075570968403</v>
      </c>
      <c r="L13" s="4"/>
      <c r="M13" s="166" t="s">
        <v>65</v>
      </c>
      <c r="N13" s="48">
        <f>($E$10*1.8233*(($E$8+1)^-0.9678)*$E$11/3600)/([1]Sh40!B11)</f>
        <v>48.187140639782172</v>
      </c>
      <c r="O13" s="48">
        <f>($E$10*1.8233*(($E$9+1)^-0.9678)*$E$11/3600)/([1]Sh40!B11)</f>
        <v>52.843429750476936</v>
      </c>
      <c r="P13" s="3"/>
    </row>
    <row r="14" spans="1:25" x14ac:dyDescent="0.25">
      <c r="A14" s="2"/>
      <c r="B14" s="4"/>
      <c r="C14" s="164" t="s">
        <v>180</v>
      </c>
      <c r="D14" s="164"/>
      <c r="E14" s="89" t="str">
        <f>IF(($E$8-$E$9)&lt;($E$8/2),"Subcrítico","Crítico")</f>
        <v>Subcrítico</v>
      </c>
      <c r="F14" s="89"/>
      <c r="G14" s="4"/>
      <c r="H14" s="166" t="s">
        <v>69</v>
      </c>
      <c r="I14" s="166">
        <v>36</v>
      </c>
      <c r="J14" s="46">
        <f t="shared" si="0"/>
        <v>0.6564552191525922</v>
      </c>
      <c r="K14" s="47">
        <f t="shared" si="1"/>
        <v>1966.4748822194499</v>
      </c>
      <c r="L14" s="4"/>
      <c r="M14" s="166" t="s">
        <v>66</v>
      </c>
      <c r="N14" s="48">
        <f>($E$10*1.8233*(($E$8+1)^-0.9678)*$E$11/3600)/([1]Sh40!B12)</f>
        <v>27.789485258461884</v>
      </c>
      <c r="O14" s="48">
        <f>($E$10*1.8233*(($E$9+1)^-0.9678)*$E$11/3600)/([1]Sh40!B12)</f>
        <v>30.474763444359528</v>
      </c>
      <c r="P14" s="3"/>
    </row>
    <row r="15" spans="1:25" x14ac:dyDescent="0.25">
      <c r="A15" s="2"/>
      <c r="B15" s="4"/>
      <c r="C15" s="179"/>
      <c r="D15" s="179"/>
      <c r="E15" s="179" t="s">
        <v>181</v>
      </c>
      <c r="F15" s="179" t="s">
        <v>182</v>
      </c>
      <c r="G15" s="4"/>
      <c r="H15" s="166" t="s">
        <v>71</v>
      </c>
      <c r="I15" s="166">
        <v>63</v>
      </c>
      <c r="J15" s="46">
        <f t="shared" si="0"/>
        <v>0.51341742375629829</v>
      </c>
      <c r="K15" s="47">
        <f t="shared" si="1"/>
        <v>3441.3310438840376</v>
      </c>
      <c r="L15" s="4"/>
      <c r="M15" s="166" t="s">
        <v>68</v>
      </c>
      <c r="N15" s="48">
        <f>($E$10*1.8233*(($E$8+1)^-0.9678)*$E$11/3600)/([1]Sh40!B13)</f>
        <v>20.403467759299499</v>
      </c>
      <c r="O15" s="48">
        <f>($E$10*1.8233*(($E$9+1)^-0.9678)*$E$11/3600)/([1]Sh40!B13)</f>
        <v>22.375040330044747</v>
      </c>
      <c r="P15" s="3"/>
    </row>
    <row r="16" spans="1:25" x14ac:dyDescent="0.25">
      <c r="A16" s="2"/>
      <c r="B16" s="4"/>
      <c r="C16" s="163" t="s">
        <v>183</v>
      </c>
      <c r="D16" s="76">
        <v>6.5</v>
      </c>
      <c r="E16" s="46">
        <f>$E$12/D16</f>
        <v>1.6898649218068589</v>
      </c>
      <c r="F16" s="47">
        <f>($E$10/$E$12)*D16</f>
        <v>355.05796484517845</v>
      </c>
      <c r="G16" s="4"/>
      <c r="H16" s="166" t="s">
        <v>73</v>
      </c>
      <c r="I16" s="166">
        <v>100</v>
      </c>
      <c r="J16" s="46">
        <f t="shared" si="0"/>
        <v>0.39532116028341791</v>
      </c>
      <c r="K16" s="47">
        <f t="shared" si="1"/>
        <v>5462.4302283873612</v>
      </c>
      <c r="L16" s="4"/>
      <c r="M16" s="166" t="s">
        <v>69</v>
      </c>
      <c r="N16" s="48">
        <f>($E$10*1.8233*(($E$8+1)^-0.9678)*$E$11/3600)/([1]Sh40!B14)</f>
        <v>12.416864707939535</v>
      </c>
      <c r="O16" s="48">
        <f>($E$10*1.8233*(($E$9+1)^-0.9678)*$E$11/3600)/([1]Sh40!B14)</f>
        <v>13.61669750899221</v>
      </c>
      <c r="P16" s="3"/>
    </row>
    <row r="17" spans="1:16" x14ac:dyDescent="0.25">
      <c r="A17" s="2"/>
      <c r="B17" s="4"/>
      <c r="C17" s="4"/>
      <c r="D17" s="4"/>
      <c r="E17" s="4"/>
      <c r="F17" s="4"/>
      <c r="G17" s="4"/>
      <c r="H17" s="166" t="s">
        <v>75</v>
      </c>
      <c r="I17" s="166">
        <v>160</v>
      </c>
      <c r="J17" s="46">
        <f t="shared" si="0"/>
        <v>0.2751882326482078</v>
      </c>
      <c r="K17" s="47">
        <f t="shared" si="1"/>
        <v>8739.888365419778</v>
      </c>
      <c r="L17" s="4"/>
      <c r="M17" s="166" t="s">
        <v>71</v>
      </c>
      <c r="N17" s="48">
        <f>($E$10*1.8233*(($E$8+1)^-0.9678)*$E$11/3600)/([1]Sh40!B15)</f>
        <v>8.704458541441582</v>
      </c>
      <c r="O17" s="48">
        <f>($E$10*1.8233*(($E$9+1)^-0.9678)*$E$11/3600)/([1]Sh40!B15)</f>
        <v>9.5455641763243353</v>
      </c>
      <c r="P17" s="3"/>
    </row>
    <row r="18" spans="1:16" x14ac:dyDescent="0.25">
      <c r="A18" s="2"/>
      <c r="B18" s="4"/>
      <c r="C18" s="4"/>
      <c r="D18" s="4"/>
      <c r="E18" s="4"/>
      <c r="F18" s="4"/>
      <c r="G18" s="4"/>
      <c r="H18" s="166" t="s">
        <v>78</v>
      </c>
      <c r="I18" s="167">
        <v>310</v>
      </c>
      <c r="J18" s="52">
        <f t="shared" si="0"/>
        <v>0.10613478058629269</v>
      </c>
      <c r="K18" s="53">
        <f t="shared" si="1"/>
        <v>16933.533708000821</v>
      </c>
      <c r="L18" s="4"/>
      <c r="M18" s="166" t="s">
        <v>73</v>
      </c>
      <c r="N18" s="48">
        <f>($E$10*1.8233*(($E$8+1)^-0.9678)*$E$11/3600)/([1]Sh40!B16)</f>
        <v>5.6325071591894806</v>
      </c>
      <c r="O18" s="48">
        <f>($E$10*1.8233*(($E$9+1)^-0.9678)*$E$11/3600)/([1]Sh40!B16)</f>
        <v>6.1767723179648959</v>
      </c>
      <c r="P18" s="3"/>
    </row>
    <row r="19" spans="1:16" x14ac:dyDescent="0.25">
      <c r="A19" s="2"/>
      <c r="B19" s="4"/>
      <c r="C19" s="162" t="str">
        <f>CONCATENATE("25P - ",IF(E9&lt;1.7,"Mola amarela",IF(E9&lt;6.2,"Mola azul",IF(E9&lt;17.3,"Mola vermelha"))))</f>
        <v>25P - Mola vermelha</v>
      </c>
      <c r="D19" s="162"/>
      <c r="E19" s="87"/>
      <c r="F19" s="87"/>
      <c r="G19" s="87"/>
      <c r="H19" s="87"/>
      <c r="I19" s="87"/>
      <c r="J19" s="87"/>
      <c r="K19" s="87"/>
      <c r="L19" s="4"/>
      <c r="M19" s="166" t="s">
        <v>184</v>
      </c>
      <c r="N19" s="48">
        <f>($E$10*1.8233*(($E$8+1)^-0.9678)*$E$11/3600)/([1]Sh40!B17)</f>
        <v>4.2107291334187869</v>
      </c>
      <c r="O19" s="48">
        <f>($E$10*1.8233*(($E$9+1)^-0.9678)*$E$11/3600)/([1]Sh40!B17)</f>
        <v>4.6176088932822834</v>
      </c>
      <c r="P19" s="3"/>
    </row>
    <row r="20" spans="1:16" x14ac:dyDescent="0.25">
      <c r="A20" s="2"/>
      <c r="B20" s="4"/>
      <c r="C20" s="177" t="s">
        <v>166</v>
      </c>
      <c r="D20" s="178" t="s">
        <v>185</v>
      </c>
      <c r="E20" s="179"/>
      <c r="F20" s="179"/>
      <c r="G20" s="180"/>
      <c r="H20" s="178" t="s">
        <v>186</v>
      </c>
      <c r="I20" s="179"/>
      <c r="J20" s="179"/>
      <c r="K20" s="180"/>
      <c r="L20" s="4"/>
      <c r="M20" s="166" t="s">
        <v>75</v>
      </c>
      <c r="N20" s="48">
        <f>($E$10*1.8233*(($E$8+1)^-0.9678)*$E$11/3600)/([1]Sh40!B18)</f>
        <v>3.2703037898689971</v>
      </c>
      <c r="O20" s="48">
        <f>($E$10*1.8233*(($E$9+1)^-0.9678)*$E$11/3600)/([1]Sh40!B18)</f>
        <v>3.586310917979425</v>
      </c>
      <c r="P20" s="3"/>
    </row>
    <row r="21" spans="1:16" x14ac:dyDescent="0.25">
      <c r="A21" s="2"/>
      <c r="B21" s="4"/>
      <c r="C21" s="168"/>
      <c r="D21" s="169" t="s">
        <v>183</v>
      </c>
      <c r="E21" s="170" t="s">
        <v>187</v>
      </c>
      <c r="F21" s="171" t="s">
        <v>188</v>
      </c>
      <c r="G21" s="172"/>
      <c r="H21" s="169" t="s">
        <v>183</v>
      </c>
      <c r="I21" s="170" t="s">
        <v>187</v>
      </c>
      <c r="J21" s="173" t="s">
        <v>188</v>
      </c>
      <c r="K21" s="172"/>
      <c r="L21" s="4"/>
      <c r="M21" s="166" t="s">
        <v>76</v>
      </c>
      <c r="N21" s="48">
        <f>($E$10*1.8233*(($E$8+1)^-0.9678)*$E$11/3600)/([1]Sh40!B19)</f>
        <v>2.0807678505672822</v>
      </c>
      <c r="O21" s="48">
        <f>($E$10*1.8233*(($E$9+1)^-0.9678)*$E$11/3600)/([1]Sh40!B19)</f>
        <v>2.2818309673209138</v>
      </c>
      <c r="P21" s="3"/>
    </row>
    <row r="22" spans="1:16" x14ac:dyDescent="0.25">
      <c r="A22" s="2"/>
      <c r="B22" s="4"/>
      <c r="C22" s="174"/>
      <c r="D22" s="175"/>
      <c r="E22" s="176"/>
      <c r="F22" s="166" t="s">
        <v>189</v>
      </c>
      <c r="G22" s="166" t="s">
        <v>190</v>
      </c>
      <c r="H22" s="175"/>
      <c r="I22" s="176"/>
      <c r="J22" s="172" t="s">
        <v>189</v>
      </c>
      <c r="K22" s="166" t="s">
        <v>190</v>
      </c>
      <c r="L22" s="4"/>
      <c r="M22" s="166" t="s">
        <v>78</v>
      </c>
      <c r="N22" s="48">
        <f>($E$10*1.8233*(($E$8+1)^-0.9678)*$E$11/3600)/([1]Sh40!B20)</f>
        <v>1.4404796632639925</v>
      </c>
      <c r="O22" s="48">
        <f>($E$10*1.8233*(($E$9+1)^-0.9678)*$E$11/3600)/([1]Sh40!B20)</f>
        <v>1.5796721880990521</v>
      </c>
      <c r="P22" s="3"/>
    </row>
    <row r="23" spans="1:16" x14ac:dyDescent="0.25">
      <c r="A23" s="2"/>
      <c r="B23" s="4"/>
      <c r="C23" s="166" t="s">
        <v>60</v>
      </c>
      <c r="D23" s="166">
        <v>3.48</v>
      </c>
      <c r="E23" s="46">
        <f t="shared" ref="E23:E32" si="2">$E$12/D23</f>
        <v>3.1563568941794782</v>
      </c>
      <c r="F23" s="47">
        <f t="shared" ref="F23:F32" si="3">($E$10/$E$12)*D23*0.2</f>
        <v>38.018514389576033</v>
      </c>
      <c r="G23" s="47">
        <f t="shared" ref="G23:G32" si="4">($E$10/$E$12)*D23*0.8</f>
        <v>152.07405755830413</v>
      </c>
      <c r="H23" s="166">
        <v>1.1599999999999999</v>
      </c>
      <c r="I23" s="46">
        <f t="shared" ref="I23:I32" si="5">$E$12/H23</f>
        <v>9.469070682538435</v>
      </c>
      <c r="J23" s="47">
        <f t="shared" ref="J23:J32" si="6">($E$10/$E$12)*H23*0.2</f>
        <v>12.672838129858677</v>
      </c>
      <c r="K23" s="47">
        <f t="shared" ref="K23:K32" si="7">($E$10/$E$12)*H23*0.8</f>
        <v>50.691352519434709</v>
      </c>
      <c r="L23" s="4"/>
      <c r="M23" s="166" t="s">
        <v>80</v>
      </c>
      <c r="N23" s="48">
        <f>($E$10*1.8233*(($E$8+1)^-0.9678)*$E$11/3600)/([1]Sh40!B21)</f>
        <v>0.83199514060701041</v>
      </c>
      <c r="O23" s="48">
        <f>($E$10*1.8233*(($E$9+1)^-0.9678)*$E$11/3600)/([1]Sh40!B21)</f>
        <v>0.91239023900720673</v>
      </c>
      <c r="P23" s="3"/>
    </row>
    <row r="24" spans="1:16" x14ac:dyDescent="0.25">
      <c r="A24" s="2"/>
      <c r="B24" s="4"/>
      <c r="C24" s="166" t="s">
        <v>63</v>
      </c>
      <c r="D24" s="166">
        <v>6.5</v>
      </c>
      <c r="E24" s="46">
        <f t="shared" si="2"/>
        <v>1.6898649218068589</v>
      </c>
      <c r="F24" s="47">
        <f t="shared" si="3"/>
        <v>71.011592969035689</v>
      </c>
      <c r="G24" s="47">
        <f t="shared" si="4"/>
        <v>284.04637187614276</v>
      </c>
      <c r="H24" s="166">
        <v>2.4</v>
      </c>
      <c r="I24" s="46">
        <f t="shared" si="5"/>
        <v>4.5767174965602431</v>
      </c>
      <c r="J24" s="47">
        <f t="shared" si="6"/>
        <v>26.219665096259334</v>
      </c>
      <c r="K24" s="47">
        <f t="shared" si="7"/>
        <v>104.87866038503734</v>
      </c>
      <c r="L24" s="4"/>
      <c r="M24" s="166" t="s">
        <v>103</v>
      </c>
      <c r="N24" s="48">
        <f>($E$10*1.8233*(($E$8+1)^-0.9678)*$E$11/3600)/([1]Sh40!B22)</f>
        <v>0.52815406019893618</v>
      </c>
      <c r="O24" s="48">
        <f>($E$10*1.8233*(($E$9+1)^-0.9678)*$E$11/3600)/([1]Sh40!B22)</f>
        <v>0.57918921120856559</v>
      </c>
      <c r="P24" s="3"/>
    </row>
    <row r="25" spans="1:16" x14ac:dyDescent="0.25">
      <c r="A25" s="2"/>
      <c r="B25" s="4"/>
      <c r="C25" s="166" t="s">
        <v>65</v>
      </c>
      <c r="D25" s="166">
        <v>10.5</v>
      </c>
      <c r="E25" s="46">
        <f t="shared" si="2"/>
        <v>1.0461068563566269</v>
      </c>
      <c r="F25" s="47">
        <f t="shared" si="3"/>
        <v>114.71103479613458</v>
      </c>
      <c r="G25" s="47">
        <f t="shared" si="4"/>
        <v>458.84413918453834</v>
      </c>
      <c r="H25" s="166">
        <v>4.5999999999999996</v>
      </c>
      <c r="I25" s="46">
        <f t="shared" si="5"/>
        <v>2.3878526069009967</v>
      </c>
      <c r="J25" s="47">
        <f t="shared" si="6"/>
        <v>50.254358101163717</v>
      </c>
      <c r="K25" s="47">
        <f t="shared" si="7"/>
        <v>201.01743240465487</v>
      </c>
      <c r="L25" s="4"/>
      <c r="M25" s="166" t="s">
        <v>104</v>
      </c>
      <c r="N25" s="48">
        <f>($E$10*1.8233*(($E$8+1)^-0.9678)*$E$11/3600)/([1]Sh40!B23)</f>
        <v>0.37204765340981566</v>
      </c>
      <c r="O25" s="48">
        <f>($E$10*1.8233*(($E$9+1)^-0.9678)*$E$11/3600)/([1]Sh40!B23)</f>
        <v>0.40799835341465202</v>
      </c>
      <c r="P25" s="3"/>
    </row>
    <row r="26" spans="1:16" x14ac:dyDescent="0.25">
      <c r="A26" s="2"/>
      <c r="B26" s="4"/>
      <c r="C26" s="166" t="s">
        <v>66</v>
      </c>
      <c r="D26" s="166">
        <v>14</v>
      </c>
      <c r="E26" s="46">
        <f t="shared" si="2"/>
        <v>0.78458014226747019</v>
      </c>
      <c r="F26" s="47">
        <f t="shared" si="3"/>
        <v>152.94804639484613</v>
      </c>
      <c r="G26" s="47">
        <f t="shared" si="4"/>
        <v>611.79218557938452</v>
      </c>
      <c r="H26" s="166">
        <v>6.5</v>
      </c>
      <c r="I26" s="46">
        <f t="shared" si="5"/>
        <v>1.6898649218068589</v>
      </c>
      <c r="J26" s="47">
        <f t="shared" si="6"/>
        <v>71.011592969035689</v>
      </c>
      <c r="K26" s="47">
        <f t="shared" si="7"/>
        <v>284.04637187614276</v>
      </c>
      <c r="L26" s="4"/>
      <c r="M26" s="166" t="s">
        <v>191</v>
      </c>
      <c r="N26" s="48">
        <f>($E$10*1.8233*(($E$8+1)^-0.9678)*$E$11/3600)/([1]Sh40!B24)</f>
        <v>0.3077689538124026</v>
      </c>
      <c r="O26" s="48">
        <f>($E$10*1.8233*(($E$9+1)^-0.9678)*$E$11/3600)/([1]Sh40!B24)</f>
        <v>0.3375084488150073</v>
      </c>
      <c r="P26" s="3"/>
    </row>
    <row r="27" spans="1:16" x14ac:dyDescent="0.25">
      <c r="A27" s="2"/>
      <c r="B27" s="4"/>
      <c r="C27" s="166" t="s">
        <v>68</v>
      </c>
      <c r="D27" s="166">
        <v>20</v>
      </c>
      <c r="E27" s="46">
        <f t="shared" si="2"/>
        <v>0.54920609958722921</v>
      </c>
      <c r="F27" s="47">
        <f t="shared" si="3"/>
        <v>218.49720913549447</v>
      </c>
      <c r="G27" s="47">
        <f t="shared" si="4"/>
        <v>873.98883654197789</v>
      </c>
      <c r="H27" s="166">
        <v>11.6</v>
      </c>
      <c r="I27" s="46">
        <f t="shared" si="5"/>
        <v>0.94690706825384341</v>
      </c>
      <c r="J27" s="47">
        <f t="shared" si="6"/>
        <v>126.72838129858678</v>
      </c>
      <c r="K27" s="47">
        <f t="shared" si="7"/>
        <v>506.91352519434713</v>
      </c>
      <c r="L27" s="4"/>
      <c r="M27" s="166" t="s">
        <v>192</v>
      </c>
      <c r="N27" s="48">
        <f>($E$10*1.8233*(($E$8+1)^-0.9678)*$E$11/3600)/([1]Sh40!B25)</f>
        <v>0.23558612935650583</v>
      </c>
      <c r="O27" s="48">
        <f>($E$10*1.8233*(($E$9+1)^-0.9678)*$E$11/3600)/([1]Sh40!B25)</f>
        <v>0.25835064939627356</v>
      </c>
      <c r="P27" s="3"/>
    </row>
    <row r="28" spans="1:16" x14ac:dyDescent="0.25">
      <c r="A28" s="2"/>
      <c r="B28" s="4"/>
      <c r="C28" s="166" t="s">
        <v>69</v>
      </c>
      <c r="D28" s="166">
        <v>35</v>
      </c>
      <c r="E28" s="46">
        <f t="shared" si="2"/>
        <v>0.31383205690698812</v>
      </c>
      <c r="F28" s="47">
        <f t="shared" si="3"/>
        <v>382.3701159871153</v>
      </c>
      <c r="G28" s="47">
        <f t="shared" si="4"/>
        <v>1529.4804639484612</v>
      </c>
      <c r="H28" s="166">
        <v>18.5</v>
      </c>
      <c r="I28" s="46">
        <f t="shared" si="5"/>
        <v>0.59373632387808561</v>
      </c>
      <c r="J28" s="47">
        <f t="shared" si="6"/>
        <v>202.10991845033237</v>
      </c>
      <c r="K28" s="47">
        <f t="shared" si="7"/>
        <v>808.43967380132949</v>
      </c>
      <c r="L28" s="4"/>
      <c r="M28" s="166" t="s">
        <v>193</v>
      </c>
      <c r="N28" s="48">
        <f>($E$10*1.8233*(($E$8+1)^-0.9678)*$E$11/3600)/([1]Sh40!B26)</f>
        <v>0.1862855212065358</v>
      </c>
      <c r="O28" s="48">
        <f>($E$10*1.8233*(($E$9+1)^-0.9678)*$E$11/3600)/([1]Sh40!B26)</f>
        <v>0.20428615856242796</v>
      </c>
      <c r="P28" s="3"/>
    </row>
    <row r="29" spans="1:16" x14ac:dyDescent="0.25">
      <c r="A29" s="2"/>
      <c r="B29" s="4"/>
      <c r="C29" s="166" t="s">
        <v>71</v>
      </c>
      <c r="D29" s="166">
        <v>56</v>
      </c>
      <c r="E29" s="46">
        <f t="shared" si="2"/>
        <v>0.19614503556686755</v>
      </c>
      <c r="F29" s="47">
        <f t="shared" si="3"/>
        <v>611.79218557938452</v>
      </c>
      <c r="G29" s="47">
        <f t="shared" si="4"/>
        <v>2447.1687423175381</v>
      </c>
      <c r="H29" s="166">
        <v>26</v>
      </c>
      <c r="I29" s="46">
        <f t="shared" si="5"/>
        <v>0.42246623045171472</v>
      </c>
      <c r="J29" s="47">
        <f t="shared" si="6"/>
        <v>284.04637187614276</v>
      </c>
      <c r="K29" s="47">
        <f t="shared" si="7"/>
        <v>1136.185487504571</v>
      </c>
      <c r="L29" s="4"/>
      <c r="M29" s="166" t="s">
        <v>194</v>
      </c>
      <c r="N29" s="48">
        <f>($E$10*1.8233*(($E$8+1)^-0.9678)*$E$11/3600)/([1]Sh40!B27)</f>
        <v>0.14978593036139989</v>
      </c>
      <c r="O29" s="48">
        <f>($E$10*1.8233*(($E$9+1)^-0.9678)*$E$11/3600)/([1]Sh40!B27)</f>
        <v>0.16425963822654918</v>
      </c>
      <c r="P29" s="3"/>
    </row>
    <row r="30" spans="1:16" x14ac:dyDescent="0.25">
      <c r="A30" s="2"/>
      <c r="B30" s="4"/>
      <c r="C30" s="166" t="s">
        <v>73</v>
      </c>
      <c r="D30" s="166">
        <v>74</v>
      </c>
      <c r="E30" s="46">
        <f t="shared" si="2"/>
        <v>0.1484340809695214</v>
      </c>
      <c r="F30" s="47">
        <f t="shared" si="3"/>
        <v>808.43967380132949</v>
      </c>
      <c r="G30" s="47">
        <f t="shared" si="4"/>
        <v>3233.758695205318</v>
      </c>
      <c r="H30" s="166">
        <v>37</v>
      </c>
      <c r="I30" s="46">
        <f t="shared" si="5"/>
        <v>0.29686816193904281</v>
      </c>
      <c r="J30" s="47">
        <f t="shared" si="6"/>
        <v>404.21983690066475</v>
      </c>
      <c r="K30" s="47">
        <f t="shared" si="7"/>
        <v>1616.879347602659</v>
      </c>
      <c r="L30" s="4"/>
      <c r="M30" s="166" t="s">
        <v>195</v>
      </c>
      <c r="N30" s="48">
        <f>($E$10*1.8233*(($E$8+1)^-0.9678)*$E$11/3600)/([1]Sh40!B28)</f>
        <v>0.10341976787938646</v>
      </c>
      <c r="O30" s="48">
        <f>($E$10*1.8233*(($E$9+1)^-0.9678)*$E$11/3600)/([1]Sh40!B28)</f>
        <v>0.1134131464574424</v>
      </c>
      <c r="P30" s="3"/>
    </row>
    <row r="31" spans="1:16" x14ac:dyDescent="0.25">
      <c r="A31" s="2"/>
      <c r="B31" s="4"/>
      <c r="C31" s="166" t="s">
        <v>75</v>
      </c>
      <c r="D31" s="166">
        <v>115</v>
      </c>
      <c r="E31" s="46">
        <f t="shared" si="2"/>
        <v>9.551410427603986E-2</v>
      </c>
      <c r="F31" s="47">
        <f t="shared" si="3"/>
        <v>1256.3589525290931</v>
      </c>
      <c r="G31" s="47">
        <f t="shared" si="4"/>
        <v>5025.4358101163725</v>
      </c>
      <c r="H31" s="166">
        <v>64</v>
      </c>
      <c r="I31" s="46">
        <f t="shared" si="5"/>
        <v>0.17162690612100912</v>
      </c>
      <c r="J31" s="47">
        <f t="shared" si="6"/>
        <v>699.19106923358231</v>
      </c>
      <c r="K31" s="47">
        <f t="shared" si="7"/>
        <v>2796.7642769343292</v>
      </c>
      <c r="L31" s="4"/>
      <c r="M31" s="166" t="s">
        <v>196</v>
      </c>
      <c r="N31" s="48">
        <f>($E$10*1.8233*(($E$8+1)^-0.9678)*$E$11/3600)/([1]Sh40!B29)</f>
        <v>5.6493153605467535E-2</v>
      </c>
      <c r="O31" s="48">
        <f>($E$10*1.8233*(($E$9+1)^-0.9678)*$E$11/3600)/([1]Sh40!B29)</f>
        <v>6.1952046838588293E-2</v>
      </c>
      <c r="P31" s="3"/>
    </row>
    <row r="32" spans="1:16" x14ac:dyDescent="0.25">
      <c r="A32" s="2"/>
      <c r="B32" s="4"/>
      <c r="C32" s="166" t="s">
        <v>78</v>
      </c>
      <c r="D32" s="166">
        <v>260</v>
      </c>
      <c r="E32" s="46">
        <f t="shared" si="2"/>
        <v>4.2246623045171475E-2</v>
      </c>
      <c r="F32" s="47">
        <f t="shared" si="3"/>
        <v>2840.463718761428</v>
      </c>
      <c r="G32" s="47">
        <f t="shared" si="4"/>
        <v>11361.854875045712</v>
      </c>
      <c r="H32" s="166">
        <v>185</v>
      </c>
      <c r="I32" s="46">
        <f t="shared" si="5"/>
        <v>5.9373632387808559E-2</v>
      </c>
      <c r="J32" s="47">
        <f t="shared" si="6"/>
        <v>2021.0991845033238</v>
      </c>
      <c r="K32" s="47">
        <f t="shared" si="7"/>
        <v>8084.3967380132954</v>
      </c>
      <c r="L32" s="4"/>
      <c r="M32" s="166" t="s">
        <v>197</v>
      </c>
      <c r="N32" s="48">
        <f>($E$10*1.8233*(($E$8+1)^-0.9678)*$E$11/3600)/([1]Sh40!B30)</f>
        <v>4.9756371152171491E-2</v>
      </c>
      <c r="O32" s="48">
        <f>($E$10*1.8233*(($E$9+1)^-0.9678)*$E$11/3600)/([1]Sh40!B30)</f>
        <v>5.4564293890634913E-2</v>
      </c>
      <c r="P32" s="3"/>
    </row>
    <row r="33" spans="1:22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V33" s="54"/>
    </row>
    <row r="34" spans="1:22" x14ac:dyDescent="0.25">
      <c r="A34" s="2"/>
      <c r="B34" s="4"/>
      <c r="C34" s="162" t="s">
        <v>198</v>
      </c>
      <c r="D34" s="162"/>
      <c r="E34" s="87"/>
      <c r="F34" s="87"/>
      <c r="G34" s="4"/>
      <c r="H34" s="305" t="s">
        <v>199</v>
      </c>
      <c r="I34" s="305"/>
      <c r="J34" s="87"/>
      <c r="K34" s="87"/>
      <c r="L34" s="4"/>
      <c r="M34" s="4"/>
      <c r="N34" s="4"/>
      <c r="O34" s="4"/>
      <c r="P34" s="3"/>
      <c r="V34" s="54"/>
    </row>
    <row r="35" spans="1:22" x14ac:dyDescent="0.25">
      <c r="A35" s="2"/>
      <c r="B35" s="4"/>
      <c r="C35" s="179" t="s">
        <v>166</v>
      </c>
      <c r="D35" s="179" t="s">
        <v>183</v>
      </c>
      <c r="E35" s="179" t="s">
        <v>168</v>
      </c>
      <c r="F35" s="179" t="s">
        <v>200</v>
      </c>
      <c r="G35" s="4"/>
      <c r="H35" s="179" t="s">
        <v>166</v>
      </c>
      <c r="I35" s="179" t="s">
        <v>167</v>
      </c>
      <c r="J35" s="179" t="s">
        <v>168</v>
      </c>
      <c r="K35" s="179" t="s">
        <v>200</v>
      </c>
      <c r="L35" s="4"/>
      <c r="M35" s="4"/>
      <c r="N35" s="182"/>
      <c r="O35" s="4"/>
      <c r="P35" s="3"/>
      <c r="V35" s="55"/>
    </row>
    <row r="36" spans="1:22" x14ac:dyDescent="0.25">
      <c r="A36" s="2"/>
      <c r="B36" s="4"/>
      <c r="C36" s="166" t="s">
        <v>60</v>
      </c>
      <c r="D36" s="166">
        <v>1.5</v>
      </c>
      <c r="E36" s="46">
        <f>$E$12/D36</f>
        <v>7.3227479944963889</v>
      </c>
      <c r="F36" s="47">
        <f>($E$10/$E$12)*D36</f>
        <v>81.936453425810413</v>
      </c>
      <c r="G36" s="4"/>
      <c r="H36" s="165" t="s">
        <v>60</v>
      </c>
      <c r="I36" s="166">
        <v>4</v>
      </c>
      <c r="J36" s="46">
        <f t="shared" ref="J36:J47" si="8">(25.56*LN($E$13/I36)+100)/100</f>
        <v>1.2180658211197299</v>
      </c>
      <c r="K36" s="47">
        <f t="shared" ref="K36:K47" si="9">($E$10/$E$12)*I36</f>
        <v>218.49720913549444</v>
      </c>
      <c r="L36" s="4"/>
      <c r="M36" s="4"/>
      <c r="N36" s="4"/>
      <c r="O36" s="4"/>
      <c r="P36" s="3"/>
      <c r="V36" s="55"/>
    </row>
    <row r="37" spans="1:22" x14ac:dyDescent="0.25">
      <c r="A37" s="2"/>
      <c r="B37" s="4"/>
      <c r="C37" s="166" t="s">
        <v>63</v>
      </c>
      <c r="D37" s="166">
        <v>2.5</v>
      </c>
      <c r="E37" s="46">
        <f>$E$12/D37</f>
        <v>4.3936487966978337</v>
      </c>
      <c r="F37" s="47">
        <f>($E$10/$E$12)*D37</f>
        <v>136.56075570968403</v>
      </c>
      <c r="G37" s="4"/>
      <c r="H37" s="166" t="s">
        <v>63</v>
      </c>
      <c r="I37" s="166">
        <v>7</v>
      </c>
      <c r="J37" s="46">
        <f t="shared" si="8"/>
        <v>1.0750280257234359</v>
      </c>
      <c r="K37" s="47">
        <f t="shared" si="9"/>
        <v>382.3701159871153</v>
      </c>
      <c r="L37" s="4"/>
      <c r="M37" s="4"/>
      <c r="N37" s="4"/>
      <c r="O37" s="4"/>
      <c r="P37" s="3"/>
      <c r="V37" s="55"/>
    </row>
    <row r="38" spans="1:22" x14ac:dyDescent="0.25">
      <c r="A38" s="2"/>
      <c r="B38" s="4"/>
      <c r="C38" s="166" t="s">
        <v>65</v>
      </c>
      <c r="D38" s="166">
        <v>3</v>
      </c>
      <c r="E38" s="46">
        <f>$E$12/D38</f>
        <v>3.6613739972481945</v>
      </c>
      <c r="F38" s="47">
        <f>($E$10/$E$12)*D38</f>
        <v>163.87290685162083</v>
      </c>
      <c r="G38" s="56"/>
      <c r="H38" s="166" t="s">
        <v>65</v>
      </c>
      <c r="I38" s="166">
        <v>12</v>
      </c>
      <c r="J38" s="46">
        <f t="shared" si="8"/>
        <v>0.93726052013616112</v>
      </c>
      <c r="K38" s="47">
        <f t="shared" si="9"/>
        <v>655.4916274064833</v>
      </c>
      <c r="L38" s="4"/>
      <c r="M38" s="4"/>
      <c r="N38" s="4"/>
      <c r="O38" s="4"/>
      <c r="P38" s="3"/>
      <c r="V38" s="55"/>
    </row>
    <row r="39" spans="1:22" x14ac:dyDescent="0.25">
      <c r="A39" s="2"/>
      <c r="B39" s="4"/>
      <c r="C39" s="4"/>
      <c r="D39" s="4"/>
      <c r="E39" s="4"/>
      <c r="F39" s="4"/>
      <c r="G39" s="56"/>
      <c r="H39" s="166" t="s">
        <v>66</v>
      </c>
      <c r="I39" s="166">
        <v>19</v>
      </c>
      <c r="J39" s="46">
        <f t="shared" si="8"/>
        <v>0.81980405674703183</v>
      </c>
      <c r="K39" s="47">
        <f t="shared" si="9"/>
        <v>1037.8617433935985</v>
      </c>
      <c r="L39" s="4"/>
      <c r="M39" s="4"/>
      <c r="N39" s="4"/>
      <c r="O39" s="4"/>
      <c r="P39" s="3"/>
      <c r="T39" s="57"/>
      <c r="U39" s="55"/>
      <c r="V39" s="55"/>
    </row>
    <row r="40" spans="1:22" x14ac:dyDescent="0.25">
      <c r="A40" s="2"/>
      <c r="B40" s="4"/>
      <c r="C40" s="4"/>
      <c r="D40" s="4"/>
      <c r="E40" s="4"/>
      <c r="F40" s="4"/>
      <c r="G40" s="56"/>
      <c r="H40" s="166" t="s">
        <v>68</v>
      </c>
      <c r="I40" s="166">
        <v>30</v>
      </c>
      <c r="J40" s="46">
        <f t="shared" si="8"/>
        <v>0.70305660906912726</v>
      </c>
      <c r="K40" s="47">
        <f t="shared" si="9"/>
        <v>1638.7290685162084</v>
      </c>
      <c r="L40" s="4"/>
      <c r="M40" s="4"/>
      <c r="N40" s="4"/>
      <c r="O40" s="4"/>
      <c r="P40" s="3"/>
      <c r="T40" s="57"/>
      <c r="U40" s="55"/>
      <c r="V40" s="55"/>
    </row>
    <row r="41" spans="1:22" x14ac:dyDescent="0.25">
      <c r="A41" s="2"/>
      <c r="B41" s="4"/>
      <c r="C41" s="4"/>
      <c r="D41" s="4"/>
      <c r="E41" s="4"/>
      <c r="F41" s="4"/>
      <c r="G41" s="56"/>
      <c r="H41" s="166" t="s">
        <v>69</v>
      </c>
      <c r="I41" s="166">
        <v>47</v>
      </c>
      <c r="J41" s="46">
        <f t="shared" si="8"/>
        <v>0.58830493282488305</v>
      </c>
      <c r="K41" s="47">
        <f t="shared" si="9"/>
        <v>2567.3422073420597</v>
      </c>
      <c r="L41" s="4"/>
      <c r="M41" s="4"/>
      <c r="N41" s="4"/>
      <c r="O41" s="4"/>
      <c r="P41" s="3"/>
      <c r="T41" s="57"/>
      <c r="U41" s="55"/>
      <c r="V41" s="55"/>
    </row>
    <row r="42" spans="1:22" x14ac:dyDescent="0.25">
      <c r="A42" s="2"/>
      <c r="B42" s="4"/>
      <c r="C42" s="4"/>
      <c r="D42" s="4"/>
      <c r="E42" s="4"/>
      <c r="F42" s="4"/>
      <c r="G42" s="56"/>
      <c r="H42" s="166" t="s">
        <v>71</v>
      </c>
      <c r="I42" s="166">
        <v>77</v>
      </c>
      <c r="J42" s="46">
        <f t="shared" si="8"/>
        <v>0.46212599399617249</v>
      </c>
      <c r="K42" s="47">
        <f t="shared" si="9"/>
        <v>4206.0712758582677</v>
      </c>
      <c r="L42" s="4"/>
      <c r="M42" s="4"/>
      <c r="N42" s="4"/>
      <c r="O42" s="4"/>
      <c r="P42" s="3"/>
      <c r="Q42" s="304"/>
      <c r="R42" s="304"/>
      <c r="S42" s="304"/>
      <c r="T42" s="54"/>
      <c r="U42" s="54"/>
      <c r="V42" s="54"/>
    </row>
    <row r="43" spans="1:22" x14ac:dyDescent="0.25">
      <c r="A43" s="2"/>
      <c r="B43" s="4"/>
      <c r="C43" s="4"/>
      <c r="D43" s="4"/>
      <c r="E43" s="4"/>
      <c r="F43" s="4"/>
      <c r="G43" s="56"/>
      <c r="H43" s="166" t="s">
        <v>73</v>
      </c>
      <c r="I43" s="166">
        <v>120</v>
      </c>
      <c r="J43" s="46">
        <f t="shared" si="8"/>
        <v>0.34871977036688306</v>
      </c>
      <c r="K43" s="47">
        <f t="shared" si="9"/>
        <v>6554.9162740648335</v>
      </c>
      <c r="L43" s="4"/>
      <c r="M43" s="4"/>
      <c r="N43" s="4"/>
      <c r="O43" s="4"/>
      <c r="P43" s="3"/>
    </row>
    <row r="44" spans="1:22" x14ac:dyDescent="0.25">
      <c r="A44" s="2"/>
      <c r="B44" s="4"/>
      <c r="C44" s="4"/>
      <c r="D44" s="4"/>
      <c r="E44" s="4"/>
      <c r="F44" s="4"/>
      <c r="G44" s="56"/>
      <c r="H44" s="166" t="s">
        <v>75</v>
      </c>
      <c r="I44" s="166">
        <v>188</v>
      </c>
      <c r="J44" s="46">
        <f t="shared" si="8"/>
        <v>0.23396809412263905</v>
      </c>
      <c r="K44" s="47">
        <f t="shared" si="9"/>
        <v>10269.368829368239</v>
      </c>
      <c r="L44" s="4"/>
      <c r="M44" s="4"/>
      <c r="N44" s="4"/>
      <c r="O44" s="4"/>
      <c r="P44" s="3"/>
    </row>
    <row r="45" spans="1:22" x14ac:dyDescent="0.25">
      <c r="A45" s="2"/>
      <c r="B45" s="4"/>
      <c r="C45" s="4"/>
      <c r="D45" s="4"/>
      <c r="E45" s="4"/>
      <c r="F45" s="4"/>
      <c r="G45" s="4"/>
      <c r="H45" s="166" t="s">
        <v>76</v>
      </c>
      <c r="I45" s="166">
        <v>288</v>
      </c>
      <c r="J45" s="46">
        <f t="shared" si="8"/>
        <v>0.12494996109922639</v>
      </c>
      <c r="K45" s="47">
        <f t="shared" si="9"/>
        <v>15731.799057755599</v>
      </c>
      <c r="L45" s="4"/>
      <c r="M45" s="4"/>
      <c r="N45" s="4"/>
      <c r="O45" s="4"/>
      <c r="P45" s="3"/>
    </row>
    <row r="46" spans="1:22" x14ac:dyDescent="0.25">
      <c r="A46" s="2"/>
      <c r="B46" s="4"/>
      <c r="C46" s="4"/>
      <c r="D46" s="4"/>
      <c r="E46" s="4"/>
      <c r="F46" s="4"/>
      <c r="G46" s="4"/>
      <c r="H46" s="166" t="s">
        <v>78</v>
      </c>
      <c r="I46" s="166">
        <v>410</v>
      </c>
      <c r="J46" s="46">
        <f t="shared" si="8"/>
        <v>3.4672889803074869E-2</v>
      </c>
      <c r="K46" s="47">
        <f t="shared" si="9"/>
        <v>22395.96393638818</v>
      </c>
      <c r="L46" s="4"/>
      <c r="M46" s="4"/>
      <c r="N46" s="4"/>
      <c r="O46" s="4"/>
      <c r="P46" s="3"/>
    </row>
    <row r="47" spans="1:22" x14ac:dyDescent="0.25">
      <c r="A47" s="2"/>
      <c r="B47" s="4"/>
      <c r="C47" s="4"/>
      <c r="D47" s="4"/>
      <c r="E47" s="4"/>
      <c r="F47" s="4"/>
      <c r="G47" s="4"/>
      <c r="H47" s="166" t="s">
        <v>80</v>
      </c>
      <c r="I47" s="166">
        <v>725</v>
      </c>
      <c r="J47" s="46">
        <f t="shared" si="8"/>
        <v>-0.11102281515888066</v>
      </c>
      <c r="K47" s="47">
        <f t="shared" si="9"/>
        <v>39602.619155808366</v>
      </c>
      <c r="L47" s="4"/>
      <c r="M47" s="4"/>
      <c r="N47" s="4"/>
      <c r="O47" s="4"/>
      <c r="P47" s="3"/>
    </row>
    <row r="48" spans="1:22" ht="15.75" thickBot="1" x14ac:dyDescent="0.3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8"/>
    </row>
  </sheetData>
  <sheetProtection algorithmName="SHA-512" hashValue="4IjvfI+SGTFkcI3cazww/elddTFOj+Iux+59pi2Ja6SjQ/HC/57svqxA6mVW0trP2ibrqhdOJyg6Wvkj8TgoSA==" saltValue="HxpGNT6jvL5YI0wPpXM4xA==" spinCount="100000" sheet="1" objects="1" scenarios="1" formatCells="0"/>
  <mergeCells count="9">
    <mergeCell ref="Q42:S42"/>
    <mergeCell ref="H34:I34"/>
    <mergeCell ref="A1:P1"/>
    <mergeCell ref="A3:P3"/>
    <mergeCell ref="B2:P2"/>
    <mergeCell ref="C7:F7"/>
    <mergeCell ref="H7:K7"/>
    <mergeCell ref="M7:O7"/>
    <mergeCell ref="C4:O4"/>
  </mergeCells>
  <conditionalFormatting sqref="E23:E32 E36:E38 E16 J36:J47 I23:I32 J9:J18">
    <cfRule type="cellIs" dxfId="10" priority="1" stopIfTrue="1" operator="lessThan">
      <formula>0.2</formula>
    </cfRule>
    <cfRule type="cellIs" dxfId="9" priority="2" stopIfTrue="1" operator="greaterThan">
      <formula>0.8</formula>
    </cfRule>
  </conditionalFormatting>
  <conditionalFormatting sqref="E14:F14">
    <cfRule type="cellIs" dxfId="8" priority="3" stopIfTrue="1" operator="equal">
      <formula>"Crítico"</formula>
    </cfRule>
  </conditionalFormatting>
  <conditionalFormatting sqref="G38:G44">
    <cfRule type="cellIs" dxfId="7" priority="4" stopIfTrue="1" operator="greaterThanOrEqual">
      <formula>$E$8</formula>
    </cfRule>
  </conditionalFormatting>
  <conditionalFormatting sqref="N9:O32 V35:V41 U39:U41">
    <cfRule type="cellIs" dxfId="6" priority="5" stopIfTrue="1" operator="between">
      <formula>15</formula>
      <formula>35</formula>
    </cfRule>
  </conditionalFormatting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A2" zoomScale="93" zoomScaleNormal="93" workbookViewId="0">
      <selection activeCell="F21" sqref="F21"/>
    </sheetView>
  </sheetViews>
  <sheetFormatPr defaultRowHeight="15" x14ac:dyDescent="0.25"/>
  <cols>
    <col min="1" max="1" width="16.28515625" style="39" customWidth="1"/>
    <col min="2" max="2" width="9.140625" style="39"/>
    <col min="3" max="3" width="15" style="39" customWidth="1"/>
    <col min="4" max="16" width="10.7109375" style="39" customWidth="1"/>
    <col min="17" max="258" width="9.140625" style="39"/>
    <col min="259" max="272" width="10.7109375" style="39" customWidth="1"/>
    <col min="273" max="514" width="9.140625" style="39"/>
    <col min="515" max="528" width="10.7109375" style="39" customWidth="1"/>
    <col min="529" max="770" width="9.140625" style="39"/>
    <col min="771" max="784" width="10.7109375" style="39" customWidth="1"/>
    <col min="785" max="1026" width="9.140625" style="39"/>
    <col min="1027" max="1040" width="10.7109375" style="39" customWidth="1"/>
    <col min="1041" max="1282" width="9.140625" style="39"/>
    <col min="1283" max="1296" width="10.7109375" style="39" customWidth="1"/>
    <col min="1297" max="1538" width="9.140625" style="39"/>
    <col min="1539" max="1552" width="10.7109375" style="39" customWidth="1"/>
    <col min="1553" max="1794" width="9.140625" style="39"/>
    <col min="1795" max="1808" width="10.7109375" style="39" customWidth="1"/>
    <col min="1809" max="2050" width="9.140625" style="39"/>
    <col min="2051" max="2064" width="10.7109375" style="39" customWidth="1"/>
    <col min="2065" max="2306" width="9.140625" style="39"/>
    <col min="2307" max="2320" width="10.7109375" style="39" customWidth="1"/>
    <col min="2321" max="2562" width="9.140625" style="39"/>
    <col min="2563" max="2576" width="10.7109375" style="39" customWidth="1"/>
    <col min="2577" max="2818" width="9.140625" style="39"/>
    <col min="2819" max="2832" width="10.7109375" style="39" customWidth="1"/>
    <col min="2833" max="3074" width="9.140625" style="39"/>
    <col min="3075" max="3088" width="10.7109375" style="39" customWidth="1"/>
    <col min="3089" max="3330" width="9.140625" style="39"/>
    <col min="3331" max="3344" width="10.7109375" style="39" customWidth="1"/>
    <col min="3345" max="3586" width="9.140625" style="39"/>
    <col min="3587" max="3600" width="10.7109375" style="39" customWidth="1"/>
    <col min="3601" max="3842" width="9.140625" style="39"/>
    <col min="3843" max="3856" width="10.7109375" style="39" customWidth="1"/>
    <col min="3857" max="4098" width="9.140625" style="39"/>
    <col min="4099" max="4112" width="10.7109375" style="39" customWidth="1"/>
    <col min="4113" max="4354" width="9.140625" style="39"/>
    <col min="4355" max="4368" width="10.7109375" style="39" customWidth="1"/>
    <col min="4369" max="4610" width="9.140625" style="39"/>
    <col min="4611" max="4624" width="10.7109375" style="39" customWidth="1"/>
    <col min="4625" max="4866" width="9.140625" style="39"/>
    <col min="4867" max="4880" width="10.7109375" style="39" customWidth="1"/>
    <col min="4881" max="5122" width="9.140625" style="39"/>
    <col min="5123" max="5136" width="10.7109375" style="39" customWidth="1"/>
    <col min="5137" max="5378" width="9.140625" style="39"/>
    <col min="5379" max="5392" width="10.7109375" style="39" customWidth="1"/>
    <col min="5393" max="5634" width="9.140625" style="39"/>
    <col min="5635" max="5648" width="10.7109375" style="39" customWidth="1"/>
    <col min="5649" max="5890" width="9.140625" style="39"/>
    <col min="5891" max="5904" width="10.7109375" style="39" customWidth="1"/>
    <col min="5905" max="6146" width="9.140625" style="39"/>
    <col min="6147" max="6160" width="10.7109375" style="39" customWidth="1"/>
    <col min="6161" max="6402" width="9.140625" style="39"/>
    <col min="6403" max="6416" width="10.7109375" style="39" customWidth="1"/>
    <col min="6417" max="6658" width="9.140625" style="39"/>
    <col min="6659" max="6672" width="10.7109375" style="39" customWidth="1"/>
    <col min="6673" max="6914" width="9.140625" style="39"/>
    <col min="6915" max="6928" width="10.7109375" style="39" customWidth="1"/>
    <col min="6929" max="7170" width="9.140625" style="39"/>
    <col min="7171" max="7184" width="10.7109375" style="39" customWidth="1"/>
    <col min="7185" max="7426" width="9.140625" style="39"/>
    <col min="7427" max="7440" width="10.7109375" style="39" customWidth="1"/>
    <col min="7441" max="7682" width="9.140625" style="39"/>
    <col min="7683" max="7696" width="10.7109375" style="39" customWidth="1"/>
    <col min="7697" max="7938" width="9.140625" style="39"/>
    <col min="7939" max="7952" width="10.7109375" style="39" customWidth="1"/>
    <col min="7953" max="8194" width="9.140625" style="39"/>
    <col min="8195" max="8208" width="10.7109375" style="39" customWidth="1"/>
    <col min="8209" max="8450" width="9.140625" style="39"/>
    <col min="8451" max="8464" width="10.7109375" style="39" customWidth="1"/>
    <col min="8465" max="8706" width="9.140625" style="39"/>
    <col min="8707" max="8720" width="10.7109375" style="39" customWidth="1"/>
    <col min="8721" max="8962" width="9.140625" style="39"/>
    <col min="8963" max="8976" width="10.7109375" style="39" customWidth="1"/>
    <col min="8977" max="9218" width="9.140625" style="39"/>
    <col min="9219" max="9232" width="10.7109375" style="39" customWidth="1"/>
    <col min="9233" max="9474" width="9.140625" style="39"/>
    <col min="9475" max="9488" width="10.7109375" style="39" customWidth="1"/>
    <col min="9489" max="9730" width="9.140625" style="39"/>
    <col min="9731" max="9744" width="10.7109375" style="39" customWidth="1"/>
    <col min="9745" max="9986" width="9.140625" style="39"/>
    <col min="9987" max="10000" width="10.7109375" style="39" customWidth="1"/>
    <col min="10001" max="10242" width="9.140625" style="39"/>
    <col min="10243" max="10256" width="10.7109375" style="39" customWidth="1"/>
    <col min="10257" max="10498" width="9.140625" style="39"/>
    <col min="10499" max="10512" width="10.7109375" style="39" customWidth="1"/>
    <col min="10513" max="10754" width="9.140625" style="39"/>
    <col min="10755" max="10768" width="10.7109375" style="39" customWidth="1"/>
    <col min="10769" max="11010" width="9.140625" style="39"/>
    <col min="11011" max="11024" width="10.7109375" style="39" customWidth="1"/>
    <col min="11025" max="11266" width="9.140625" style="39"/>
    <col min="11267" max="11280" width="10.7109375" style="39" customWidth="1"/>
    <col min="11281" max="11522" width="9.140625" style="39"/>
    <col min="11523" max="11536" width="10.7109375" style="39" customWidth="1"/>
    <col min="11537" max="11778" width="9.140625" style="39"/>
    <col min="11779" max="11792" width="10.7109375" style="39" customWidth="1"/>
    <col min="11793" max="12034" width="9.140625" style="39"/>
    <col min="12035" max="12048" width="10.7109375" style="39" customWidth="1"/>
    <col min="12049" max="12290" width="9.140625" style="39"/>
    <col min="12291" max="12304" width="10.7109375" style="39" customWidth="1"/>
    <col min="12305" max="12546" width="9.140625" style="39"/>
    <col min="12547" max="12560" width="10.7109375" style="39" customWidth="1"/>
    <col min="12561" max="12802" width="9.140625" style="39"/>
    <col min="12803" max="12816" width="10.7109375" style="39" customWidth="1"/>
    <col min="12817" max="13058" width="9.140625" style="39"/>
    <col min="13059" max="13072" width="10.7109375" style="39" customWidth="1"/>
    <col min="13073" max="13314" width="9.140625" style="39"/>
    <col min="13315" max="13328" width="10.7109375" style="39" customWidth="1"/>
    <col min="13329" max="13570" width="9.140625" style="39"/>
    <col min="13571" max="13584" width="10.7109375" style="39" customWidth="1"/>
    <col min="13585" max="13826" width="9.140625" style="39"/>
    <col min="13827" max="13840" width="10.7109375" style="39" customWidth="1"/>
    <col min="13841" max="14082" width="9.140625" style="39"/>
    <col min="14083" max="14096" width="10.7109375" style="39" customWidth="1"/>
    <col min="14097" max="14338" width="9.140625" style="39"/>
    <col min="14339" max="14352" width="10.7109375" style="39" customWidth="1"/>
    <col min="14353" max="14594" width="9.140625" style="39"/>
    <col min="14595" max="14608" width="10.7109375" style="39" customWidth="1"/>
    <col min="14609" max="14850" width="9.140625" style="39"/>
    <col min="14851" max="14864" width="10.7109375" style="39" customWidth="1"/>
    <col min="14865" max="15106" width="9.140625" style="39"/>
    <col min="15107" max="15120" width="10.7109375" style="39" customWidth="1"/>
    <col min="15121" max="15362" width="9.140625" style="39"/>
    <col min="15363" max="15376" width="10.7109375" style="39" customWidth="1"/>
    <col min="15377" max="15618" width="9.140625" style="39"/>
    <col min="15619" max="15632" width="10.7109375" style="39" customWidth="1"/>
    <col min="15633" max="15874" width="9.140625" style="39"/>
    <col min="15875" max="15888" width="10.7109375" style="39" customWidth="1"/>
    <col min="15889" max="16130" width="9.140625" style="39"/>
    <col min="16131" max="16144" width="10.7109375" style="39" customWidth="1"/>
    <col min="16145" max="16384" width="9.140625" style="39"/>
  </cols>
  <sheetData>
    <row r="1" spans="1:27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27" ht="24" thickBot="1" x14ac:dyDescent="0.3">
      <c r="A2" s="92" t="s">
        <v>130</v>
      </c>
      <c r="B2" s="4"/>
      <c r="C2" s="299" t="s">
        <v>217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6"/>
      <c r="P2" s="183"/>
      <c r="Q2" s="58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x14ac:dyDescent="0.25">
      <c r="A3" s="2"/>
      <c r="B3" s="4"/>
      <c r="C3" s="43"/>
      <c r="D3" s="43"/>
      <c r="E3" s="43"/>
      <c r="F3" s="43"/>
      <c r="G3" s="4"/>
      <c r="H3" s="4"/>
      <c r="I3" s="4"/>
      <c r="J3" s="4"/>
      <c r="K3" s="4"/>
      <c r="L3" s="4"/>
      <c r="M3" s="4"/>
      <c r="N3" s="4"/>
      <c r="O3" s="4"/>
      <c r="P3" s="3"/>
    </row>
    <row r="4" spans="1:27" x14ac:dyDescent="0.25">
      <c r="A4" s="2"/>
      <c r="B4" s="4"/>
      <c r="C4" s="305" t="s">
        <v>161</v>
      </c>
      <c r="D4" s="305"/>
      <c r="E4" s="305"/>
      <c r="F4" s="305"/>
      <c r="G4" s="305"/>
      <c r="H4" s="305"/>
      <c r="I4" s="4"/>
      <c r="J4" s="4"/>
      <c r="K4" s="4"/>
      <c r="L4" s="4"/>
      <c r="M4" s="4"/>
      <c r="N4" s="4"/>
      <c r="O4" s="4"/>
      <c r="P4" s="3"/>
    </row>
    <row r="5" spans="1:27" x14ac:dyDescent="0.25">
      <c r="A5" s="2"/>
      <c r="B5" s="4"/>
      <c r="C5" s="164" t="s">
        <v>164</v>
      </c>
      <c r="D5" s="164"/>
      <c r="E5" s="73">
        <v>7.5</v>
      </c>
      <c r="F5" s="321" t="s">
        <v>201</v>
      </c>
      <c r="G5" s="321"/>
      <c r="H5" s="321"/>
      <c r="I5" s="4"/>
      <c r="J5" s="4"/>
      <c r="K5" s="4"/>
      <c r="L5" s="4"/>
      <c r="M5" s="305" t="s">
        <v>163</v>
      </c>
      <c r="N5" s="305"/>
      <c r="O5" s="305"/>
      <c r="P5" s="3"/>
    </row>
    <row r="6" spans="1:27" x14ac:dyDescent="0.25">
      <c r="A6" s="2"/>
      <c r="B6" s="4"/>
      <c r="C6" s="310" t="s">
        <v>174</v>
      </c>
      <c r="D6" s="311"/>
      <c r="E6" s="77">
        <v>3</v>
      </c>
      <c r="F6" s="60" t="s">
        <v>202</v>
      </c>
      <c r="G6" s="61" t="s">
        <v>203</v>
      </c>
      <c r="H6" s="62" t="s">
        <v>204</v>
      </c>
      <c r="I6" s="4" t="str">
        <f>IF(OR(F6="m3",F6="L"),IF(OR(H6="h",H6="min",H6="s"),"",CONCATENATE("ERRO: ",H6)),CONCATENATE("ERRO: ",F6))</f>
        <v/>
      </c>
      <c r="J6" s="4"/>
      <c r="K6" s="4"/>
      <c r="L6" s="4"/>
      <c r="M6" s="178" t="s">
        <v>166</v>
      </c>
      <c r="N6" s="178" t="s">
        <v>170</v>
      </c>
      <c r="O6" s="178" t="s">
        <v>171</v>
      </c>
      <c r="P6" s="3"/>
    </row>
    <row r="7" spans="1:27" x14ac:dyDescent="0.25">
      <c r="A7" s="2"/>
      <c r="B7" s="4"/>
      <c r="C7" s="164" t="s">
        <v>205</v>
      </c>
      <c r="D7" s="164"/>
      <c r="E7" s="74">
        <v>60</v>
      </c>
      <c r="F7" s="322" t="s">
        <v>206</v>
      </c>
      <c r="G7" s="322"/>
      <c r="H7" s="322"/>
      <c r="I7" s="4"/>
      <c r="J7" s="4"/>
      <c r="K7" s="4"/>
      <c r="L7" s="4"/>
      <c r="M7" s="166" t="s">
        <v>173</v>
      </c>
      <c r="N7" s="48">
        <f>($E$9*(273+$E$7))/(3600*273*($E$5+1)*[1]Sh40!B7)</f>
        <v>1360.7182415166019</v>
      </c>
      <c r="O7" s="48">
        <f>($E$9*(273+$E$7))/(3600*273*($E$10+1)*[1]Sh40!B7)</f>
        <v>1482.8339811398866</v>
      </c>
      <c r="P7" s="3"/>
      <c r="X7" s="50"/>
      <c r="Y7" s="50"/>
      <c r="Z7" s="50"/>
    </row>
    <row r="8" spans="1:27" x14ac:dyDescent="0.25">
      <c r="A8" s="2"/>
      <c r="B8" s="4"/>
      <c r="C8" s="164" t="s">
        <v>207</v>
      </c>
      <c r="D8" s="164"/>
      <c r="E8" s="63">
        <f>273*(1/(E7+273))*(E5+1)*E6*IF(F6="m3",1,IF(F6="L",0.001,0))/IF(H6="h",60,IF(H6="min",1,IF(H6="s",0.016666667,9999999999999)))</f>
        <v>20.905405405405403</v>
      </c>
      <c r="F8" s="323" t="s">
        <v>208</v>
      </c>
      <c r="G8" s="324"/>
      <c r="H8" s="325"/>
      <c r="I8" s="64" t="e">
        <f>273*(1/(I7+273))*(I5+1)*I6*IF(#REF!="m3",1,IF(#REF!="L",0.001,0))/IF(#REF!="h",60,IF(#REF!="min",1,IF(#REF!="s",0.016666667,9999999999999)))</f>
        <v>#VALUE!</v>
      </c>
      <c r="J8" s="4"/>
      <c r="K8" s="4"/>
      <c r="L8" s="4"/>
      <c r="M8" s="166" t="s">
        <v>176</v>
      </c>
      <c r="N8" s="48">
        <f>($E$9*(273+$E$7))/(3600*273*($E$5+1)*[1]Sh40!B8)</f>
        <v>748.89089258807689</v>
      </c>
      <c r="O8" s="48">
        <f>($E$9*(273+$E$7))/(3600*273*($E$10+1)*[1]Sh40!B8)</f>
        <v>816.09904961521204</v>
      </c>
      <c r="P8" s="3"/>
      <c r="X8" s="50"/>
      <c r="Y8" s="50"/>
      <c r="Z8" s="50"/>
    </row>
    <row r="9" spans="1:27" x14ac:dyDescent="0.25">
      <c r="A9" s="2"/>
      <c r="B9" s="4"/>
      <c r="C9" s="164" t="s">
        <v>207</v>
      </c>
      <c r="D9" s="164"/>
      <c r="E9" s="65">
        <f>E8*60</f>
        <v>1254.3243243243242</v>
      </c>
      <c r="F9" s="323" t="s">
        <v>209</v>
      </c>
      <c r="G9" s="324"/>
      <c r="H9" s="325"/>
      <c r="I9" s="64" t="e">
        <f>273*(1/(I8+273))*(I6+1)*I7*IF(#REF!="m3",1,IF(#REF!="L",0.001,0))/IF(#REF!="h",60,IF(#REF!="min",1,IF(#REF!="s",0.016666667,9999999999999)))</f>
        <v>#VALUE!</v>
      </c>
      <c r="J9" s="4"/>
      <c r="K9" s="4"/>
      <c r="L9" s="4"/>
      <c r="M9" s="166" t="s">
        <v>60</v>
      </c>
      <c r="N9" s="48">
        <f>($E$9*(273+$E$7))/(3600*273*($E$5+1)*[1]Sh40!B9)</f>
        <v>408.74384840508145</v>
      </c>
      <c r="O9" s="48">
        <f>($E$9*(273+$E$7))/(3600*273*($E$10+1)*[1]Sh40!B9)</f>
        <v>445.42598864656316</v>
      </c>
      <c r="P9" s="3"/>
      <c r="X9" s="50"/>
      <c r="Y9" s="50"/>
      <c r="Z9" s="50"/>
    </row>
    <row r="10" spans="1:27" x14ac:dyDescent="0.25">
      <c r="A10" s="2"/>
      <c r="B10" s="4"/>
      <c r="C10" s="164" t="s">
        <v>172</v>
      </c>
      <c r="D10" s="164"/>
      <c r="E10" s="44">
        <v>6.8</v>
      </c>
      <c r="F10" s="326" t="s">
        <v>201</v>
      </c>
      <c r="G10" s="327"/>
      <c r="H10" s="328"/>
      <c r="I10" s="4"/>
      <c r="J10" s="4"/>
      <c r="K10" s="4"/>
      <c r="L10" s="4"/>
      <c r="M10" s="166" t="s">
        <v>63</v>
      </c>
      <c r="N10" s="48">
        <f>($E$9*(273+$E$7))/(3600*273*($E$5+1)*[1]Sh40!B10)</f>
        <v>256.31167499679606</v>
      </c>
      <c r="O10" s="48">
        <f>($E$9*(273+$E$7))/(3600*273*($E$10+1)*[1]Sh40!B10)</f>
        <v>279.31400480420081</v>
      </c>
      <c r="P10" s="3"/>
    </row>
    <row r="11" spans="1:27" x14ac:dyDescent="0.25">
      <c r="A11" s="2"/>
      <c r="B11" s="4"/>
      <c r="C11" s="164" t="s">
        <v>178</v>
      </c>
      <c r="D11" s="164"/>
      <c r="E11" s="307">
        <f>IF(E13="Crítico",(E9/257)*(SQRT((273+E7))/(E5+1)),(E9/295)*SQRT((273+E7)/((E5+E10+2)*(E5-E10))))</f>
        <v>22.970324099876546</v>
      </c>
      <c r="F11" s="308"/>
      <c r="G11" s="308"/>
      <c r="H11" s="309"/>
      <c r="I11" s="4"/>
      <c r="J11" s="4"/>
      <c r="K11" s="4"/>
      <c r="L11" s="4"/>
      <c r="M11" s="166" t="s">
        <v>65</v>
      </c>
      <c r="N11" s="48">
        <f>($E$9*(273+$E$7))/(3600*273*($E$5+1)*[1]Sh40!B11)</f>
        <v>89.703958994526246</v>
      </c>
      <c r="O11" s="48">
        <f>($E$9*(273+$E$7))/(3600*273*($E$10+1)*[1]Sh40!B11)</f>
        <v>97.754314288906812</v>
      </c>
      <c r="P11" s="3"/>
    </row>
    <row r="12" spans="1:27" x14ac:dyDescent="0.25">
      <c r="A12" s="2"/>
      <c r="B12" s="4"/>
      <c r="C12" s="164" t="s">
        <v>179</v>
      </c>
      <c r="D12" s="164"/>
      <c r="E12" s="307">
        <f>E11/1.17</f>
        <v>19.632755640920127</v>
      </c>
      <c r="F12" s="308"/>
      <c r="G12" s="308"/>
      <c r="H12" s="309"/>
      <c r="I12" s="4"/>
      <c r="J12" s="4"/>
      <c r="K12" s="4"/>
      <c r="L12" s="4"/>
      <c r="M12" s="166" t="s">
        <v>66</v>
      </c>
      <c r="N12" s="48">
        <f>($E$9*(273+$E$7))/(3600*273*($E$5+1)*[1]Sh40!B12)</f>
        <v>51.732201018917422</v>
      </c>
      <c r="O12" s="48">
        <f>($E$9*(273+$E$7))/(3600*273*($E$10+1)*[1]Sh40!B12)</f>
        <v>56.374834443692066</v>
      </c>
      <c r="P12" s="3"/>
    </row>
    <row r="13" spans="1:27" x14ac:dyDescent="0.25">
      <c r="A13" s="2"/>
      <c r="B13" s="4"/>
      <c r="C13" s="310" t="s">
        <v>180</v>
      </c>
      <c r="D13" s="311"/>
      <c r="E13" s="312" t="str">
        <f>IF(($E$5-$E$10)&lt;($E$5/2),"Subcrítico","Crítico")</f>
        <v>Subcrítico</v>
      </c>
      <c r="F13" s="313"/>
      <c r="G13" s="313"/>
      <c r="H13" s="314"/>
      <c r="I13" s="4"/>
      <c r="J13" s="4"/>
      <c r="K13" s="4"/>
      <c r="L13" s="4"/>
      <c r="M13" s="166" t="s">
        <v>68</v>
      </c>
      <c r="N13" s="48">
        <f>($E$9*(273+$E$7))/(3600*273*($E$5+1)*[1]Sh40!B13)</f>
        <v>37.982578151053673</v>
      </c>
      <c r="O13" s="48">
        <f>($E$9*(273+$E$7))/(3600*273*($E$10+1)*[1]Sh40!B13)</f>
        <v>41.391271062045668</v>
      </c>
      <c r="P13" s="3"/>
    </row>
    <row r="14" spans="1:27" x14ac:dyDescent="0.25">
      <c r="A14" s="2"/>
      <c r="B14" s="4"/>
      <c r="C14" s="318" t="s">
        <v>210</v>
      </c>
      <c r="D14" s="320"/>
      <c r="E14" s="178" t="s">
        <v>211</v>
      </c>
      <c r="F14" s="318" t="s">
        <v>212</v>
      </c>
      <c r="G14" s="319"/>
      <c r="H14" s="319"/>
      <c r="I14" s="4"/>
      <c r="J14" s="4"/>
      <c r="K14" s="4"/>
      <c r="L14" s="4"/>
      <c r="M14" s="166" t="s">
        <v>69</v>
      </c>
      <c r="N14" s="48">
        <f>($E$9*(273+$E$7))/(3600*273*($E$5+1)*[1]Sh40!B14)</f>
        <v>23.114920450001271</v>
      </c>
      <c r="O14" s="48">
        <f>($E$9*(273+$E$7))/(3600*273*($E$10+1)*[1]Sh40!B14)</f>
        <v>25.189336387821896</v>
      </c>
      <c r="P14" s="3"/>
    </row>
    <row r="15" spans="1:27" x14ac:dyDescent="0.25">
      <c r="A15" s="2"/>
      <c r="B15" s="4"/>
      <c r="C15" s="163" t="s">
        <v>183</v>
      </c>
      <c r="D15" s="51">
        <v>35</v>
      </c>
      <c r="E15" s="46">
        <f>$E$11/D15</f>
        <v>0.65629497428218697</v>
      </c>
      <c r="F15" s="315">
        <f>($E$8/$E$11)*D15</f>
        <v>31.853672852318248</v>
      </c>
      <c r="G15" s="316"/>
      <c r="H15" s="317"/>
      <c r="I15" s="4"/>
      <c r="J15" s="4"/>
      <c r="K15" s="4"/>
      <c r="L15" s="4"/>
      <c r="M15" s="166" t="s">
        <v>71</v>
      </c>
      <c r="N15" s="48">
        <f>($E$9*(273+$E$7))/(3600*273*($E$5+1)*[1]Sh40!B15)</f>
        <v>16.20399927665347</v>
      </c>
      <c r="O15" s="48">
        <f>($E$9*(273+$E$7))/(3600*273*($E$10+1)*[1]Sh40!B15)</f>
        <v>17.658204339942884</v>
      </c>
      <c r="P15" s="3"/>
    </row>
    <row r="16" spans="1:27" x14ac:dyDescent="0.25">
      <c r="A16" s="2"/>
      <c r="B16" s="4"/>
      <c r="C16" s="163" t="s">
        <v>213</v>
      </c>
      <c r="D16" s="51">
        <v>36</v>
      </c>
      <c r="E16" s="46">
        <f>$E$12/D16</f>
        <v>0.54535432335889245</v>
      </c>
      <c r="F16" s="315">
        <f>($E$8/$E$12)*D16</f>
        <v>38.333620015418418</v>
      </c>
      <c r="G16" s="316"/>
      <c r="H16" s="317"/>
      <c r="I16" s="4"/>
      <c r="J16" s="4"/>
      <c r="K16" s="4"/>
      <c r="L16" s="4"/>
      <c r="M16" s="166" t="s">
        <v>73</v>
      </c>
      <c r="N16" s="48">
        <f>($E$9*(273+$E$7))/(3600*273*($E$5+1)*[1]Sh40!B16)</f>
        <v>10.48533248779612</v>
      </c>
      <c r="O16" s="48">
        <f>($E$9*(273+$E$7))/(3600*273*($E$10+1)*[1]Sh40!B16)</f>
        <v>11.426323864906028</v>
      </c>
      <c r="P16" s="3"/>
    </row>
    <row r="17" spans="1:16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66" t="s">
        <v>184</v>
      </c>
      <c r="N17" s="48">
        <f>($E$9*(273+$E$7))/(3600*273*($E$5+1)*[1]Sh40!B17)</f>
        <v>7.8385865711529652</v>
      </c>
      <c r="O17" s="48">
        <f>($E$9*(273+$E$7))/(3600*273*($E$10+1)*[1]Sh40!B17)</f>
        <v>8.5420494685641302</v>
      </c>
      <c r="P17" s="3"/>
    </row>
    <row r="18" spans="1:16" x14ac:dyDescent="0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66" t="s">
        <v>75</v>
      </c>
      <c r="N18" s="48">
        <f>($E$9*(273+$E$7))/(3600*273*($E$5+1)*[1]Sh40!B18)</f>
        <v>6.0879146006821134</v>
      </c>
      <c r="O18" s="48">
        <f>($E$9*(273+$E$7))/(3600*273*($E$10+1)*[1]Sh40!B18)</f>
        <v>6.6342659109997388</v>
      </c>
      <c r="P18" s="3"/>
    </row>
    <row r="19" spans="1:16" x14ac:dyDescent="0.25">
      <c r="A19" s="2"/>
      <c r="B19" s="4"/>
      <c r="C19" s="305" t="str">
        <f>CONCATENATE("25PAR - ",IF(E10&lt;1.7,"Mola amarela",IF(E10&lt;6.2,"Mola azul",IF(E10&lt;17.3,"Mola vermelha"))))</f>
        <v>25PAR - Mola vermelha</v>
      </c>
      <c r="D19" s="305"/>
      <c r="E19" s="305"/>
      <c r="F19" s="4"/>
      <c r="G19" s="4"/>
      <c r="H19" s="4"/>
      <c r="I19" s="4"/>
      <c r="J19" s="4"/>
      <c r="K19" s="4"/>
      <c r="L19" s="4"/>
      <c r="M19" s="166" t="s">
        <v>76</v>
      </c>
      <c r="N19" s="48">
        <f>($E$9*(273+$E$7))/(3600*273*($E$5+1)*[1]Sh40!B19)</f>
        <v>3.873504662576297</v>
      </c>
      <c r="O19" s="48">
        <f>($E$9*(273+$E$7))/(3600*273*($E$10+1)*[1]Sh40!B19)</f>
        <v>4.2211268758844263</v>
      </c>
      <c r="P19" s="3"/>
    </row>
    <row r="20" spans="1:16" x14ac:dyDescent="0.25">
      <c r="A20" s="2"/>
      <c r="B20" s="4"/>
      <c r="C20" s="178" t="s">
        <v>214</v>
      </c>
      <c r="D20" s="318" t="s">
        <v>215</v>
      </c>
      <c r="E20" s="319"/>
      <c r="F20" s="319"/>
      <c r="G20" s="320"/>
      <c r="H20" s="318" t="s">
        <v>216</v>
      </c>
      <c r="I20" s="319"/>
      <c r="J20" s="319"/>
      <c r="K20" s="319"/>
      <c r="L20" s="4"/>
      <c r="M20" s="166" t="s">
        <v>78</v>
      </c>
      <c r="N20" s="48">
        <f>($E$9*(273+$E$7))/(3600*273*($E$5+1)*[1]Sh40!B20)</f>
        <v>2.6815604107292446</v>
      </c>
      <c r="O20" s="48">
        <f>($E$9*(273+$E$7))/(3600*273*($E$10+1)*[1]Sh40!B20)</f>
        <v>2.9222132681023822</v>
      </c>
      <c r="P20" s="3"/>
    </row>
    <row r="21" spans="1:16" x14ac:dyDescent="0.25">
      <c r="A21" s="2"/>
      <c r="B21" s="4"/>
      <c r="C21" s="163"/>
      <c r="D21" s="163" t="s">
        <v>183</v>
      </c>
      <c r="E21" s="163" t="s">
        <v>187</v>
      </c>
      <c r="F21" s="163" t="str">
        <f>CONCATENATE("Vazão (",F6,"/",H6,")")</f>
        <v>Vazão (m3/min)</v>
      </c>
      <c r="G21" s="163"/>
      <c r="H21" s="163" t="s">
        <v>183</v>
      </c>
      <c r="I21" s="163" t="s">
        <v>187</v>
      </c>
      <c r="J21" s="163" t="str">
        <f>CONCATENATE("Vazão (",F6,"/",H6,")")</f>
        <v>Vazão (m3/min)</v>
      </c>
      <c r="K21" s="163"/>
      <c r="L21" s="4"/>
      <c r="M21" s="166" t="s">
        <v>80</v>
      </c>
      <c r="N21" s="48">
        <f>($E$9*(273+$E$7))/(3600*273*($E$5+1)*[1]Sh40!B21)</f>
        <v>1.5488210544503838</v>
      </c>
      <c r="O21" s="48">
        <f>($E$9*(273+$E$7))/(3600*273*($E$10+1)*[1]Sh40!B21)</f>
        <v>1.6878178157472132</v>
      </c>
      <c r="P21" s="3"/>
    </row>
    <row r="22" spans="1:16" x14ac:dyDescent="0.25">
      <c r="A22" s="2"/>
      <c r="B22" s="4"/>
      <c r="C22" s="163"/>
      <c r="D22" s="163"/>
      <c r="E22" s="163"/>
      <c r="F22" s="163" t="s">
        <v>189</v>
      </c>
      <c r="G22" s="163" t="s">
        <v>190</v>
      </c>
      <c r="H22" s="163"/>
      <c r="I22" s="163"/>
      <c r="J22" s="163" t="s">
        <v>189</v>
      </c>
      <c r="K22" s="163" t="s">
        <v>190</v>
      </c>
      <c r="L22" s="4"/>
      <c r="M22" s="166" t="s">
        <v>103</v>
      </c>
      <c r="N22" s="48">
        <f>($E$9*(273+$E$7))/(3600*273*($E$5+1)*[1]Sh40!B22)</f>
        <v>0.98319820453849782</v>
      </c>
      <c r="O22" s="48">
        <f>($E$9*(273+$E$7))/(3600*273*($E$10+1)*[1]Sh40!B22)</f>
        <v>1.071433940843235</v>
      </c>
      <c r="P22" s="3"/>
    </row>
    <row r="23" spans="1:16" x14ac:dyDescent="0.25">
      <c r="A23" s="2"/>
      <c r="B23" s="4"/>
      <c r="C23" s="166" t="s">
        <v>60</v>
      </c>
      <c r="D23" s="166">
        <v>3.48</v>
      </c>
      <c r="E23" s="46">
        <f t="shared" ref="E23:E32" si="0">$E$11/D23</f>
        <v>6.6006678447921106</v>
      </c>
      <c r="F23" s="66">
        <f>($E$6/$E$11)*D23*0.2</f>
        <v>9.08998928757484E-2</v>
      </c>
      <c r="G23" s="47">
        <f t="shared" ref="G23:G32" si="1">($E$6/$E$11)*D23*0.8</f>
        <v>0.3635995715029936</v>
      </c>
      <c r="H23" s="166">
        <v>1.1599999999999999</v>
      </c>
      <c r="I23" s="46">
        <f t="shared" ref="I23:I32" si="2">$E$11/H23</f>
        <v>19.802003534376333</v>
      </c>
      <c r="J23" s="66">
        <f>($E$6/$E$11)*H23*0.2</f>
        <v>3.0299964291916132E-2</v>
      </c>
      <c r="K23" s="47">
        <f>($E$6/$E$11)*H23*0.8</f>
        <v>0.12119985716766453</v>
      </c>
      <c r="L23" s="4"/>
      <c r="M23" s="166" t="s">
        <v>104</v>
      </c>
      <c r="N23" s="48">
        <f>($E$9*(273+$E$7))/(3600*273*($E$5+1)*[1]Sh40!B23)</f>
        <v>0.6925944765008718</v>
      </c>
      <c r="O23" s="48">
        <f>($E$9*(273+$E$7))/(3600*273*($E$10+1)*[1]Sh40!B23)</f>
        <v>0.75475039105864239</v>
      </c>
      <c r="P23" s="3"/>
    </row>
    <row r="24" spans="1:16" x14ac:dyDescent="0.25">
      <c r="A24" s="2"/>
      <c r="B24" s="4"/>
      <c r="C24" s="166" t="s">
        <v>63</v>
      </c>
      <c r="D24" s="166">
        <v>6.5</v>
      </c>
      <c r="E24" s="46">
        <f t="shared" si="0"/>
        <v>3.5338960153656225</v>
      </c>
      <c r="F24" s="66">
        <f t="shared" ref="F24:F32" si="3">($E$6/$E$11)*D24*0.2</f>
        <v>0.16978428267021972</v>
      </c>
      <c r="G24" s="47">
        <f t="shared" si="1"/>
        <v>0.67913713068087889</v>
      </c>
      <c r="H24" s="166">
        <v>2.4</v>
      </c>
      <c r="I24" s="46">
        <f t="shared" si="2"/>
        <v>9.5709683749485617</v>
      </c>
      <c r="J24" s="66">
        <f t="shared" ref="J24:J32" si="4">($E$6/$E$11)*H24*0.2</f>
        <v>6.2689581293619595E-2</v>
      </c>
      <c r="K24" s="47">
        <f t="shared" ref="K24:K32" si="5">($E$6/$E$11)*H24*0.8</f>
        <v>0.25075832517447838</v>
      </c>
      <c r="L24" s="4"/>
      <c r="M24" s="166" t="s">
        <v>191</v>
      </c>
      <c r="N24" s="48">
        <f>($E$9*(273+$E$7))/(3600*273*($E$5+1)*[1]Sh40!B24)</f>
        <v>0.57293487943095367</v>
      </c>
      <c r="O24" s="48">
        <f>($E$9*(273+$E$7))/(3600*273*($E$10+1)*[1]Sh40!B24)</f>
        <v>0.62435211220039821</v>
      </c>
      <c r="P24" s="3"/>
    </row>
    <row r="25" spans="1:16" x14ac:dyDescent="0.25">
      <c r="A25" s="2"/>
      <c r="B25" s="4"/>
      <c r="C25" s="166" t="s">
        <v>65</v>
      </c>
      <c r="D25" s="166">
        <v>10.5</v>
      </c>
      <c r="E25" s="46">
        <f t="shared" si="0"/>
        <v>2.1876499142739569</v>
      </c>
      <c r="F25" s="66">
        <f t="shared" si="3"/>
        <v>0.2742669181595857</v>
      </c>
      <c r="G25" s="47">
        <f t="shared" si="1"/>
        <v>1.0970676726383428</v>
      </c>
      <c r="H25" s="166">
        <v>4.5999999999999996</v>
      </c>
      <c r="I25" s="46">
        <f t="shared" si="2"/>
        <v>4.993548717364467</v>
      </c>
      <c r="J25" s="66">
        <f t="shared" si="4"/>
        <v>0.12015503081277089</v>
      </c>
      <c r="K25" s="47">
        <f t="shared" si="5"/>
        <v>0.48062012325108355</v>
      </c>
      <c r="L25" s="4"/>
      <c r="M25" s="166" t="s">
        <v>192</v>
      </c>
      <c r="N25" s="48">
        <f>($E$9*(273+$E$7))/(3600*273*($E$5+1)*[1]Sh40!B25)</f>
        <v>0.43856116397220385</v>
      </c>
      <c r="O25" s="48">
        <f>($E$9*(273+$E$7))/(3600*273*($E$10+1)*[1]Sh40!B25)</f>
        <v>0.47791921714919644</v>
      </c>
      <c r="P25" s="3"/>
    </row>
    <row r="26" spans="1:16" x14ac:dyDescent="0.25">
      <c r="A26" s="2"/>
      <c r="B26" s="4"/>
      <c r="C26" s="166" t="s">
        <v>66</v>
      </c>
      <c r="D26" s="166">
        <v>14</v>
      </c>
      <c r="E26" s="46">
        <f t="shared" si="0"/>
        <v>1.6407374357054676</v>
      </c>
      <c r="F26" s="66">
        <f t="shared" si="3"/>
        <v>0.36568922421278094</v>
      </c>
      <c r="G26" s="47">
        <f t="shared" si="1"/>
        <v>1.4627568968511238</v>
      </c>
      <c r="H26" s="166">
        <v>6.5</v>
      </c>
      <c r="I26" s="46">
        <f t="shared" si="2"/>
        <v>3.5338960153656225</v>
      </c>
      <c r="J26" s="66">
        <f t="shared" si="4"/>
        <v>0.16978428267021972</v>
      </c>
      <c r="K26" s="47">
        <f t="shared" si="5"/>
        <v>0.67913713068087889</v>
      </c>
      <c r="L26" s="4"/>
      <c r="M26" s="166" t="s">
        <v>193</v>
      </c>
      <c r="N26" s="48">
        <f>($E$9*(273+$E$7))/(3600*273*($E$5+1)*[1]Sh40!B26)</f>
        <v>0.34678440209812328</v>
      </c>
      <c r="O26" s="48">
        <f>($E$9*(273+$E$7))/(3600*273*($E$10+1)*[1]Sh40!B26)</f>
        <v>0.37790607920949332</v>
      </c>
      <c r="P26" s="3"/>
    </row>
    <row r="27" spans="1:16" x14ac:dyDescent="0.25">
      <c r="A27" s="2"/>
      <c r="B27" s="4"/>
      <c r="C27" s="166" t="s">
        <v>68</v>
      </c>
      <c r="D27" s="166">
        <v>20</v>
      </c>
      <c r="E27" s="46">
        <f t="shared" si="0"/>
        <v>1.1485162049938273</v>
      </c>
      <c r="F27" s="66">
        <f t="shared" si="3"/>
        <v>0.52241317744682991</v>
      </c>
      <c r="G27" s="47">
        <f t="shared" si="1"/>
        <v>2.0896527097873197</v>
      </c>
      <c r="H27" s="166">
        <v>11.6</v>
      </c>
      <c r="I27" s="46">
        <f t="shared" si="2"/>
        <v>1.9802003534376333</v>
      </c>
      <c r="J27" s="66">
        <f t="shared" si="4"/>
        <v>0.30299964291916137</v>
      </c>
      <c r="K27" s="47">
        <f t="shared" si="5"/>
        <v>1.2119985716766455</v>
      </c>
      <c r="L27" s="4"/>
      <c r="M27" s="166" t="s">
        <v>194</v>
      </c>
      <c r="N27" s="48">
        <f>($E$9*(273+$E$7))/(3600*273*($E$5+1)*[1]Sh40!B27)</f>
        <v>0.27883768940635606</v>
      </c>
      <c r="O27" s="48">
        <f>($E$9*(273+$E$7))/(3600*273*($E$10+1)*[1]Sh40!B27)</f>
        <v>0.30386158460949059</v>
      </c>
      <c r="P27" s="3"/>
    </row>
    <row r="28" spans="1:16" x14ac:dyDescent="0.25">
      <c r="A28" s="2"/>
      <c r="B28" s="4"/>
      <c r="C28" s="166" t="s">
        <v>69</v>
      </c>
      <c r="D28" s="166">
        <v>35</v>
      </c>
      <c r="E28" s="46">
        <f t="shared" si="0"/>
        <v>0.65629497428218697</v>
      </c>
      <c r="F28" s="66">
        <f t="shared" si="3"/>
        <v>0.91422306053195246</v>
      </c>
      <c r="G28" s="47">
        <f t="shared" si="1"/>
        <v>3.6568922421278098</v>
      </c>
      <c r="H28" s="166">
        <v>18.5</v>
      </c>
      <c r="I28" s="46">
        <f t="shared" si="2"/>
        <v>1.2416391405338674</v>
      </c>
      <c r="J28" s="66">
        <f t="shared" si="4"/>
        <v>0.48323218913831767</v>
      </c>
      <c r="K28" s="47">
        <f t="shared" si="5"/>
        <v>1.9329287565532707</v>
      </c>
      <c r="L28" s="4"/>
      <c r="M28" s="166" t="s">
        <v>195</v>
      </c>
      <c r="N28" s="48">
        <f>($E$9*(273+$E$7))/(3600*273*($E$5+1)*[1]Sh40!B28)</f>
        <v>0.1925236171705299</v>
      </c>
      <c r="O28" s="48">
        <f>($E$9*(273+$E$7))/(3600*273*($E$10+1)*[1]Sh40!B28)</f>
        <v>0.20980137768583387</v>
      </c>
      <c r="P28" s="3"/>
    </row>
    <row r="29" spans="1:16" x14ac:dyDescent="0.25">
      <c r="A29" s="2"/>
      <c r="B29" s="4"/>
      <c r="C29" s="166" t="s">
        <v>71</v>
      </c>
      <c r="D29" s="166">
        <v>56</v>
      </c>
      <c r="E29" s="46">
        <f t="shared" si="0"/>
        <v>0.4101843589263669</v>
      </c>
      <c r="F29" s="66">
        <f t="shared" si="3"/>
        <v>1.4627568968511238</v>
      </c>
      <c r="G29" s="47">
        <f t="shared" si="1"/>
        <v>5.851027587404495</v>
      </c>
      <c r="H29" s="166">
        <v>26</v>
      </c>
      <c r="I29" s="46">
        <f t="shared" si="2"/>
        <v>0.88347400384140562</v>
      </c>
      <c r="J29" s="66">
        <f t="shared" si="4"/>
        <v>0.67913713068087889</v>
      </c>
      <c r="K29" s="47">
        <f t="shared" si="5"/>
        <v>2.7165485227235155</v>
      </c>
      <c r="L29" s="4"/>
      <c r="M29" s="166" t="s">
        <v>196</v>
      </c>
      <c r="N29" s="48">
        <f>($E$9*(273+$E$7))/(3600*273*($E$5+1)*[1]Sh40!B29)</f>
        <v>0.10516622209188714</v>
      </c>
      <c r="O29" s="48">
        <f>($E$9*(273+$E$7))/(3600*273*($E$10+1)*[1]Sh40!B29)</f>
        <v>0.11460421638218471</v>
      </c>
      <c r="P29" s="3"/>
    </row>
    <row r="30" spans="1:16" x14ac:dyDescent="0.25">
      <c r="A30" s="2"/>
      <c r="B30" s="4"/>
      <c r="C30" s="166" t="s">
        <v>73</v>
      </c>
      <c r="D30" s="166">
        <v>74</v>
      </c>
      <c r="E30" s="46">
        <f t="shared" si="0"/>
        <v>0.31040978513346684</v>
      </c>
      <c r="F30" s="66">
        <f t="shared" si="3"/>
        <v>1.9329287565532707</v>
      </c>
      <c r="G30" s="47">
        <f t="shared" si="1"/>
        <v>7.7317150262130827</v>
      </c>
      <c r="H30" s="166">
        <v>37</v>
      </c>
      <c r="I30" s="46">
        <f t="shared" si="2"/>
        <v>0.62081957026693368</v>
      </c>
      <c r="J30" s="66">
        <f t="shared" si="4"/>
        <v>0.96646437827663534</v>
      </c>
      <c r="K30" s="47">
        <f t="shared" si="5"/>
        <v>3.8658575131065414</v>
      </c>
      <c r="L30" s="4"/>
      <c r="M30" s="166" t="s">
        <v>197</v>
      </c>
      <c r="N30" s="48">
        <f>($E$9*(273+$E$7))/(3600*273*($E$5+1)*[1]Sh40!B30)</f>
        <v>9.2625198720880098E-2</v>
      </c>
      <c r="O30" s="48">
        <f>($E$9*(273+$E$7))/(3600*273*($E$10+1)*[1]Sh40!B30)</f>
        <v>0.10093771655480521</v>
      </c>
      <c r="P30" s="3"/>
    </row>
    <row r="31" spans="1:16" x14ac:dyDescent="0.25">
      <c r="A31" s="2"/>
      <c r="B31" s="4"/>
      <c r="C31" s="166" t="s">
        <v>75</v>
      </c>
      <c r="D31" s="166">
        <v>115</v>
      </c>
      <c r="E31" s="46">
        <f t="shared" si="0"/>
        <v>0.19974194869457865</v>
      </c>
      <c r="F31" s="66">
        <f t="shared" si="3"/>
        <v>3.0038757703192722</v>
      </c>
      <c r="G31" s="47">
        <f t="shared" si="1"/>
        <v>12.015503081277089</v>
      </c>
      <c r="H31" s="166">
        <v>64</v>
      </c>
      <c r="I31" s="46">
        <f t="shared" si="2"/>
        <v>0.35891131406057103</v>
      </c>
      <c r="J31" s="66">
        <f t="shared" si="4"/>
        <v>1.6717221678298557</v>
      </c>
      <c r="K31" s="47">
        <f t="shared" si="5"/>
        <v>6.6868886713194229</v>
      </c>
      <c r="L31" s="4"/>
      <c r="M31" s="4"/>
      <c r="N31" s="4"/>
      <c r="O31" s="4"/>
      <c r="P31" s="3"/>
    </row>
    <row r="32" spans="1:16" x14ac:dyDescent="0.25">
      <c r="A32" s="2"/>
      <c r="B32" s="4"/>
      <c r="C32" s="166" t="s">
        <v>78</v>
      </c>
      <c r="D32" s="166">
        <v>260</v>
      </c>
      <c r="E32" s="46">
        <f t="shared" si="0"/>
        <v>8.8347400384140559E-2</v>
      </c>
      <c r="F32" s="66">
        <f t="shared" si="3"/>
        <v>6.7913713068087889</v>
      </c>
      <c r="G32" s="47">
        <f t="shared" si="1"/>
        <v>27.165485227235155</v>
      </c>
      <c r="H32" s="166">
        <v>185</v>
      </c>
      <c r="I32" s="46">
        <f t="shared" si="2"/>
        <v>0.12416391405338674</v>
      </c>
      <c r="J32" s="66">
        <f t="shared" si="4"/>
        <v>4.8323218913831774</v>
      </c>
      <c r="K32" s="47">
        <f t="shared" si="5"/>
        <v>19.329287565532709</v>
      </c>
      <c r="L32" s="4"/>
      <c r="M32" s="4"/>
      <c r="N32" s="4"/>
      <c r="O32" s="4"/>
      <c r="P32" s="3"/>
    </row>
    <row r="33" spans="1:16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1:16" x14ac:dyDescent="0.25">
      <c r="A34" s="2"/>
      <c r="B34" s="4"/>
      <c r="C34" s="305" t="s">
        <v>198</v>
      </c>
      <c r="D34" s="305"/>
      <c r="E34" s="87"/>
      <c r="F34" s="87"/>
      <c r="G34" s="4"/>
      <c r="H34" s="305" t="s">
        <v>199</v>
      </c>
      <c r="I34" s="305"/>
      <c r="J34" s="87"/>
      <c r="K34" s="87"/>
      <c r="L34" s="4"/>
      <c r="M34" s="4"/>
      <c r="N34" s="4"/>
      <c r="O34" s="4"/>
      <c r="P34" s="3"/>
    </row>
    <row r="35" spans="1:16" x14ac:dyDescent="0.25">
      <c r="A35" s="2"/>
      <c r="B35" s="4"/>
      <c r="C35" s="178" t="s">
        <v>166</v>
      </c>
      <c r="D35" s="178" t="s">
        <v>183</v>
      </c>
      <c r="E35" s="178" t="s">
        <v>168</v>
      </c>
      <c r="F35" s="178" t="s">
        <v>200</v>
      </c>
      <c r="G35" s="56"/>
      <c r="H35" s="178" t="s">
        <v>166</v>
      </c>
      <c r="I35" s="178" t="s">
        <v>167</v>
      </c>
      <c r="J35" s="178" t="s">
        <v>168</v>
      </c>
      <c r="K35" s="178" t="s">
        <v>200</v>
      </c>
      <c r="L35" s="4"/>
      <c r="M35" s="4"/>
      <c r="N35" s="4"/>
      <c r="O35" s="4"/>
      <c r="P35" s="3"/>
    </row>
    <row r="36" spans="1:16" x14ac:dyDescent="0.25">
      <c r="A36" s="2"/>
      <c r="B36" s="4"/>
      <c r="C36" s="166" t="s">
        <v>60</v>
      </c>
      <c r="D36" s="166">
        <v>1.5</v>
      </c>
      <c r="E36" s="46">
        <f>$E$11/D36</f>
        <v>15.313549399917697</v>
      </c>
      <c r="F36" s="47">
        <f>($E$6/$E$11)*D36</f>
        <v>0.19590494154256122</v>
      </c>
      <c r="G36" s="56"/>
      <c r="H36" s="166" t="s">
        <v>60</v>
      </c>
      <c r="I36" s="166">
        <v>4</v>
      </c>
      <c r="J36" s="46">
        <f t="shared" ref="J36:J47" si="6">(25.56*LN($E$12/I36)+100)/100</f>
        <v>1.406635322185412</v>
      </c>
      <c r="K36" s="47">
        <f t="shared" ref="K36:K47" si="7">($E$6/$E$11)*I36</f>
        <v>0.52241317744682991</v>
      </c>
      <c r="L36" s="4"/>
      <c r="M36" s="4"/>
      <c r="N36" s="4"/>
      <c r="O36" s="67"/>
      <c r="P36" s="184"/>
    </row>
    <row r="37" spans="1:16" x14ac:dyDescent="0.25">
      <c r="A37" s="2"/>
      <c r="B37" s="4"/>
      <c r="C37" s="166" t="s">
        <v>63</v>
      </c>
      <c r="D37" s="166">
        <v>2.5</v>
      </c>
      <c r="E37" s="46">
        <f>$E$11/D37</f>
        <v>9.1881296399506187</v>
      </c>
      <c r="F37" s="47">
        <f>($E$6/$E$11)*D37</f>
        <v>0.3265082359042687</v>
      </c>
      <c r="G37" s="56"/>
      <c r="H37" s="166" t="s">
        <v>63</v>
      </c>
      <c r="I37" s="166">
        <v>7</v>
      </c>
      <c r="J37" s="46">
        <f t="shared" si="6"/>
        <v>1.263597526789118</v>
      </c>
      <c r="K37" s="47">
        <f t="shared" si="7"/>
        <v>0.91422306053195235</v>
      </c>
      <c r="L37" s="4"/>
      <c r="M37" s="4"/>
      <c r="N37" s="4"/>
      <c r="O37" s="67"/>
      <c r="P37" s="184"/>
    </row>
    <row r="38" spans="1:16" x14ac:dyDescent="0.25">
      <c r="A38" s="2"/>
      <c r="B38" s="4"/>
      <c r="C38" s="166" t="s">
        <v>65</v>
      </c>
      <c r="D38" s="166">
        <v>3</v>
      </c>
      <c r="E38" s="46">
        <f>$E$11/D38</f>
        <v>7.6567746999588486</v>
      </c>
      <c r="F38" s="47">
        <f>($E$6/$E$11)*D38</f>
        <v>0.39180988308512243</v>
      </c>
      <c r="G38" s="56"/>
      <c r="H38" s="166" t="s">
        <v>65</v>
      </c>
      <c r="I38" s="166">
        <v>12</v>
      </c>
      <c r="J38" s="46">
        <f t="shared" si="6"/>
        <v>1.1258300212018433</v>
      </c>
      <c r="K38" s="47">
        <f t="shared" si="7"/>
        <v>1.5672395323404897</v>
      </c>
      <c r="L38" s="4"/>
      <c r="M38" s="4"/>
      <c r="N38" s="4"/>
      <c r="O38" s="67"/>
      <c r="P38" s="184"/>
    </row>
    <row r="39" spans="1:16" x14ac:dyDescent="0.25">
      <c r="A39" s="2"/>
      <c r="B39" s="4"/>
      <c r="C39" s="4"/>
      <c r="D39" s="4"/>
      <c r="E39" s="4"/>
      <c r="F39" s="4"/>
      <c r="G39" s="4"/>
      <c r="H39" s="166" t="s">
        <v>66</v>
      </c>
      <c r="I39" s="166">
        <v>19</v>
      </c>
      <c r="J39" s="46">
        <f t="shared" si="6"/>
        <v>1.0083735578127138</v>
      </c>
      <c r="K39" s="47">
        <f t="shared" si="7"/>
        <v>2.4814625928724423</v>
      </c>
      <c r="L39" s="4"/>
      <c r="M39" s="4"/>
      <c r="N39" s="4"/>
      <c r="O39" s="67"/>
      <c r="P39" s="184"/>
    </row>
    <row r="40" spans="1:16" x14ac:dyDescent="0.25">
      <c r="A40" s="2"/>
      <c r="B40" s="4"/>
      <c r="C40" s="305" t="s">
        <v>162</v>
      </c>
      <c r="D40" s="305"/>
      <c r="E40" s="87"/>
      <c r="F40" s="87"/>
      <c r="G40" s="4"/>
      <c r="H40" s="166" t="s">
        <v>68</v>
      </c>
      <c r="I40" s="166">
        <v>30</v>
      </c>
      <c r="J40" s="46">
        <f t="shared" si="6"/>
        <v>0.89162611013480908</v>
      </c>
      <c r="K40" s="47">
        <f t="shared" si="7"/>
        <v>3.9180988308512243</v>
      </c>
      <c r="L40" s="4"/>
      <c r="M40" s="4"/>
      <c r="N40" s="4"/>
      <c r="O40" s="67"/>
      <c r="P40" s="184"/>
    </row>
    <row r="41" spans="1:16" x14ac:dyDescent="0.25">
      <c r="A41" s="2"/>
      <c r="B41" s="4"/>
      <c r="C41" s="178" t="s">
        <v>166</v>
      </c>
      <c r="D41" s="178" t="s">
        <v>167</v>
      </c>
      <c r="E41" s="178" t="s">
        <v>168</v>
      </c>
      <c r="F41" s="178" t="s">
        <v>200</v>
      </c>
      <c r="G41" s="4"/>
      <c r="H41" s="166" t="s">
        <v>69</v>
      </c>
      <c r="I41" s="166">
        <v>47</v>
      </c>
      <c r="J41" s="46">
        <f t="shared" si="6"/>
        <v>0.7768744338905651</v>
      </c>
      <c r="K41" s="47">
        <f t="shared" si="7"/>
        <v>6.1383548350002517</v>
      </c>
      <c r="L41" s="4"/>
      <c r="M41" s="4"/>
      <c r="N41" s="4"/>
      <c r="O41" s="67"/>
      <c r="P41" s="184"/>
    </row>
    <row r="42" spans="1:16" x14ac:dyDescent="0.25">
      <c r="A42" s="2"/>
      <c r="B42" s="4"/>
      <c r="C42" s="166" t="s">
        <v>60</v>
      </c>
      <c r="D42" s="166">
        <v>4</v>
      </c>
      <c r="E42" s="46">
        <f t="shared" ref="E42:E50" si="8">(25.56*LN($E$12/D42)+100)/100</f>
        <v>1.406635322185412</v>
      </c>
      <c r="F42" s="47">
        <f t="shared" ref="F42:F50" si="9">($E$6/$E$11)*D42</f>
        <v>0.52241317744682991</v>
      </c>
      <c r="G42" s="56"/>
      <c r="H42" s="166" t="s">
        <v>71</v>
      </c>
      <c r="I42" s="166">
        <v>77</v>
      </c>
      <c r="J42" s="46">
        <f t="shared" si="6"/>
        <v>0.65069549506185442</v>
      </c>
      <c r="K42" s="47">
        <f t="shared" si="7"/>
        <v>10.056453665851476</v>
      </c>
      <c r="L42" s="4"/>
      <c r="M42" s="4"/>
      <c r="N42" s="4"/>
      <c r="O42" s="67"/>
      <c r="P42" s="184"/>
    </row>
    <row r="43" spans="1:16" x14ac:dyDescent="0.25">
      <c r="A43" s="2"/>
      <c r="B43" s="4"/>
      <c r="C43" s="166" t="s">
        <v>63</v>
      </c>
      <c r="D43" s="166">
        <v>6.3</v>
      </c>
      <c r="E43" s="46">
        <f t="shared" si="8"/>
        <v>1.2905276745912584</v>
      </c>
      <c r="F43" s="47">
        <f t="shared" si="9"/>
        <v>0.82280075447875711</v>
      </c>
      <c r="G43" s="56"/>
      <c r="H43" s="166" t="s">
        <v>73</v>
      </c>
      <c r="I43" s="166">
        <v>120</v>
      </c>
      <c r="J43" s="46">
        <f t="shared" si="6"/>
        <v>0.53728927143256511</v>
      </c>
      <c r="K43" s="47">
        <f t="shared" si="7"/>
        <v>15.672395323404897</v>
      </c>
      <c r="L43" s="4"/>
      <c r="M43" s="4"/>
      <c r="N43" s="4"/>
      <c r="O43" s="67"/>
      <c r="P43" s="184"/>
    </row>
    <row r="44" spans="1:16" x14ac:dyDescent="0.25">
      <c r="A44" s="2"/>
      <c r="B44" s="4"/>
      <c r="C44" s="166" t="s">
        <v>65</v>
      </c>
      <c r="D44" s="166">
        <v>10</v>
      </c>
      <c r="E44" s="46">
        <f t="shared" si="8"/>
        <v>1.172431411118378</v>
      </c>
      <c r="F44" s="47">
        <f t="shared" si="9"/>
        <v>1.3060329436170748</v>
      </c>
      <c r="G44" s="56"/>
      <c r="H44" s="166" t="s">
        <v>75</v>
      </c>
      <c r="I44" s="166">
        <v>188</v>
      </c>
      <c r="J44" s="46">
        <f t="shared" si="6"/>
        <v>0.42253759518832107</v>
      </c>
      <c r="K44" s="47">
        <f t="shared" si="7"/>
        <v>24.553419340001007</v>
      </c>
      <c r="L44" s="4"/>
      <c r="M44" s="4"/>
      <c r="N44" s="4"/>
      <c r="O44" s="67"/>
      <c r="P44" s="184"/>
    </row>
    <row r="45" spans="1:16" x14ac:dyDescent="0.25">
      <c r="A45" s="2"/>
      <c r="B45" s="4"/>
      <c r="C45" s="166" t="s">
        <v>66</v>
      </c>
      <c r="D45" s="166">
        <v>16</v>
      </c>
      <c r="E45" s="46">
        <f t="shared" si="8"/>
        <v>1.0522984834831679</v>
      </c>
      <c r="F45" s="47">
        <f t="shared" si="9"/>
        <v>2.0896527097873197</v>
      </c>
      <c r="G45" s="56"/>
      <c r="H45" s="166" t="s">
        <v>76</v>
      </c>
      <c r="I45" s="166">
        <v>288</v>
      </c>
      <c r="J45" s="46">
        <f t="shared" si="6"/>
        <v>0.31351946216490828</v>
      </c>
      <c r="K45" s="47">
        <f t="shared" si="7"/>
        <v>37.613748776171754</v>
      </c>
      <c r="L45" s="4"/>
      <c r="M45" s="4"/>
      <c r="N45" s="4"/>
      <c r="O45" s="67"/>
      <c r="P45" s="184"/>
    </row>
    <row r="46" spans="1:16" x14ac:dyDescent="0.25">
      <c r="A46" s="2"/>
      <c r="B46" s="4"/>
      <c r="C46" s="166" t="s">
        <v>68</v>
      </c>
      <c r="D46" s="166">
        <v>25</v>
      </c>
      <c r="E46" s="46">
        <f t="shared" si="8"/>
        <v>0.93822750005134392</v>
      </c>
      <c r="F46" s="47">
        <f t="shared" si="9"/>
        <v>3.2650823590426867</v>
      </c>
      <c r="G46" s="56"/>
      <c r="H46" s="166" t="s">
        <v>78</v>
      </c>
      <c r="I46" s="166">
        <v>410</v>
      </c>
      <c r="J46" s="46">
        <f t="shared" si="6"/>
        <v>0.22324239086875694</v>
      </c>
      <c r="K46" s="47">
        <f t="shared" si="7"/>
        <v>53.547350688300064</v>
      </c>
      <c r="L46" s="4"/>
      <c r="M46" s="4"/>
      <c r="N46" s="4"/>
      <c r="O46" s="67"/>
      <c r="P46" s="184"/>
    </row>
    <row r="47" spans="1:16" x14ac:dyDescent="0.25">
      <c r="A47" s="2"/>
      <c r="B47" s="4"/>
      <c r="C47" s="166" t="s">
        <v>69</v>
      </c>
      <c r="D47" s="166">
        <v>36</v>
      </c>
      <c r="E47" s="46">
        <f t="shared" si="8"/>
        <v>0.84502472021827435</v>
      </c>
      <c r="F47" s="47">
        <f t="shared" si="9"/>
        <v>4.7017185970214692</v>
      </c>
      <c r="G47" s="56"/>
      <c r="H47" s="166" t="s">
        <v>80</v>
      </c>
      <c r="I47" s="166">
        <v>725</v>
      </c>
      <c r="J47" s="46">
        <f t="shared" si="6"/>
        <v>7.7546685906801263E-2</v>
      </c>
      <c r="K47" s="47">
        <f t="shared" si="7"/>
        <v>94.687388412237922</v>
      </c>
      <c r="L47" s="71"/>
      <c r="M47" s="72"/>
      <c r="N47" s="67"/>
      <c r="O47" s="67"/>
      <c r="P47" s="184"/>
    </row>
    <row r="48" spans="1:16" x14ac:dyDescent="0.25">
      <c r="A48" s="2"/>
      <c r="B48" s="4"/>
      <c r="C48" s="166" t="s">
        <v>71</v>
      </c>
      <c r="D48" s="166">
        <v>63</v>
      </c>
      <c r="E48" s="46">
        <f t="shared" si="8"/>
        <v>0.70198692482198022</v>
      </c>
      <c r="F48" s="47">
        <f t="shared" si="9"/>
        <v>8.2280075447875713</v>
      </c>
      <c r="G48" s="56"/>
      <c r="H48" s="56"/>
      <c r="I48" s="69"/>
      <c r="J48" s="70"/>
      <c r="K48" s="4"/>
      <c r="L48" s="71"/>
      <c r="M48" s="72"/>
      <c r="N48" s="67"/>
      <c r="O48" s="67"/>
      <c r="P48" s="184"/>
    </row>
    <row r="49" spans="1:16" x14ac:dyDescent="0.25">
      <c r="A49" s="2"/>
      <c r="B49" s="4"/>
      <c r="C49" s="166" t="s">
        <v>73</v>
      </c>
      <c r="D49" s="166">
        <v>100</v>
      </c>
      <c r="E49" s="46">
        <f t="shared" si="8"/>
        <v>0.58389066134909984</v>
      </c>
      <c r="F49" s="47">
        <f t="shared" si="9"/>
        <v>13.060329436170747</v>
      </c>
      <c r="G49" s="56"/>
      <c r="H49" s="56"/>
      <c r="I49" s="69"/>
      <c r="J49" s="70"/>
      <c r="K49" s="70"/>
      <c r="L49" s="71"/>
      <c r="M49" s="72"/>
      <c r="N49" s="67"/>
      <c r="O49" s="67"/>
      <c r="P49" s="184"/>
    </row>
    <row r="50" spans="1:16" x14ac:dyDescent="0.25">
      <c r="A50" s="2"/>
      <c r="B50" s="4"/>
      <c r="C50" s="166" t="s">
        <v>75</v>
      </c>
      <c r="D50" s="166">
        <v>160</v>
      </c>
      <c r="E50" s="46">
        <f t="shared" si="8"/>
        <v>0.46375773371388995</v>
      </c>
      <c r="F50" s="47">
        <f t="shared" si="9"/>
        <v>20.896527097873197</v>
      </c>
      <c r="G50" s="56"/>
      <c r="H50" s="56"/>
      <c r="I50" s="69"/>
      <c r="J50" s="70"/>
      <c r="K50" s="70"/>
      <c r="L50" s="71"/>
      <c r="M50" s="72"/>
      <c r="N50" s="67"/>
      <c r="O50" s="67"/>
      <c r="P50" s="184"/>
    </row>
    <row r="51" spans="1:16" ht="15.75" thickBot="1" x14ac:dyDescent="0.3">
      <c r="A51" s="101"/>
      <c r="B51" s="102"/>
      <c r="C51" s="185"/>
      <c r="D51" s="185"/>
      <c r="E51" s="186"/>
      <c r="F51" s="186"/>
      <c r="G51" s="186"/>
      <c r="H51" s="186"/>
      <c r="I51" s="187"/>
      <c r="J51" s="188"/>
      <c r="K51" s="188"/>
      <c r="L51" s="189"/>
      <c r="M51" s="153"/>
      <c r="N51" s="190"/>
      <c r="O51" s="190"/>
      <c r="P51" s="191"/>
    </row>
    <row r="52" spans="1:16" x14ac:dyDescent="0.25">
      <c r="C52" s="329"/>
      <c r="D52" s="329"/>
      <c r="E52" s="56"/>
      <c r="F52" s="56"/>
      <c r="G52" s="56"/>
      <c r="H52" s="56"/>
      <c r="I52" s="69"/>
      <c r="J52" s="70"/>
      <c r="K52" s="70"/>
      <c r="L52" s="71"/>
      <c r="M52" s="72"/>
      <c r="N52" s="67"/>
      <c r="O52" s="67"/>
      <c r="P52" s="68"/>
    </row>
    <row r="53" spans="1:16" x14ac:dyDescent="0.25">
      <c r="C53" s="329"/>
      <c r="D53" s="329"/>
      <c r="E53" s="56"/>
      <c r="F53" s="56"/>
      <c r="G53" s="56"/>
      <c r="H53" s="56"/>
      <c r="I53" s="69"/>
      <c r="J53" s="70"/>
      <c r="K53" s="70"/>
      <c r="L53" s="71"/>
      <c r="M53" s="72"/>
      <c r="N53" s="67"/>
      <c r="O53" s="67"/>
      <c r="P53" s="68"/>
    </row>
    <row r="54" spans="1:16" x14ac:dyDescent="0.25">
      <c r="C54" s="329"/>
      <c r="D54" s="329"/>
      <c r="E54" s="56"/>
      <c r="F54" s="56"/>
      <c r="G54" s="56"/>
      <c r="H54" s="56"/>
      <c r="I54" s="69"/>
      <c r="J54" s="70"/>
      <c r="K54" s="70"/>
      <c r="L54" s="71"/>
      <c r="M54" s="72"/>
      <c r="N54" s="67"/>
      <c r="O54" s="67"/>
      <c r="P54" s="68"/>
    </row>
    <row r="55" spans="1:16" x14ac:dyDescent="0.25">
      <c r="C55" s="329"/>
      <c r="D55" s="329"/>
      <c r="E55" s="56"/>
      <c r="F55" s="56"/>
      <c r="G55" s="56"/>
      <c r="H55" s="56"/>
      <c r="I55" s="69"/>
      <c r="J55" s="70"/>
      <c r="K55" s="70"/>
      <c r="L55" s="71"/>
      <c r="M55" s="72"/>
      <c r="N55" s="67"/>
      <c r="O55" s="67"/>
      <c r="P55" s="68"/>
    </row>
    <row r="56" spans="1:16" x14ac:dyDescent="0.25">
      <c r="C56" s="329"/>
      <c r="D56" s="329"/>
      <c r="E56" s="56"/>
      <c r="F56" s="56"/>
      <c r="G56" s="56"/>
      <c r="H56" s="56"/>
      <c r="I56" s="69"/>
      <c r="J56" s="70"/>
      <c r="K56" s="70"/>
      <c r="L56" s="71"/>
      <c r="M56" s="72"/>
      <c r="N56" s="67"/>
      <c r="O56" s="67"/>
      <c r="P56" s="68"/>
    </row>
    <row r="57" spans="1:16" x14ac:dyDescent="0.25">
      <c r="C57" s="329"/>
      <c r="D57" s="329"/>
      <c r="E57" s="56"/>
      <c r="F57" s="56"/>
      <c r="G57" s="56"/>
      <c r="H57" s="56"/>
      <c r="I57" s="69"/>
      <c r="J57" s="70"/>
      <c r="K57" s="70"/>
      <c r="L57" s="71"/>
      <c r="M57" s="72"/>
      <c r="N57" s="67"/>
      <c r="O57" s="67"/>
      <c r="P57" s="68"/>
    </row>
    <row r="58" spans="1:16" x14ac:dyDescent="0.25">
      <c r="C58" s="329"/>
      <c r="D58" s="329"/>
      <c r="E58" s="56"/>
      <c r="F58" s="56"/>
      <c r="G58" s="56"/>
      <c r="H58" s="56"/>
      <c r="I58" s="69"/>
      <c r="J58" s="70"/>
      <c r="K58" s="70"/>
      <c r="L58" s="71"/>
      <c r="M58" s="72"/>
      <c r="N58" s="67"/>
      <c r="O58" s="67"/>
      <c r="P58" s="68"/>
    </row>
    <row r="59" spans="1:16" x14ac:dyDescent="0.25">
      <c r="C59" s="329"/>
      <c r="D59" s="329"/>
      <c r="E59" s="56"/>
      <c r="F59" s="56"/>
      <c r="G59" s="56"/>
      <c r="H59" s="56"/>
      <c r="I59" s="69"/>
      <c r="J59" s="70"/>
      <c r="K59" s="70"/>
      <c r="L59" s="71"/>
      <c r="M59" s="72"/>
      <c r="N59" s="67"/>
      <c r="O59" s="67"/>
      <c r="P59" s="68"/>
    </row>
    <row r="60" spans="1:16" x14ac:dyDescent="0.25">
      <c r="C60" s="329"/>
      <c r="D60" s="329"/>
      <c r="E60" s="56"/>
      <c r="F60" s="56"/>
      <c r="G60" s="56"/>
      <c r="H60" s="56"/>
      <c r="I60" s="69"/>
      <c r="J60" s="70"/>
      <c r="K60" s="70"/>
      <c r="L60" s="71"/>
      <c r="M60" s="72"/>
      <c r="N60" s="67"/>
      <c r="O60" s="67"/>
      <c r="P60" s="68"/>
    </row>
    <row r="61" spans="1:16" x14ac:dyDescent="0.25">
      <c r="C61" s="329"/>
      <c r="D61" s="329"/>
      <c r="E61" s="56"/>
      <c r="F61" s="56"/>
      <c r="G61" s="56"/>
      <c r="H61" s="56"/>
      <c r="I61" s="69"/>
      <c r="J61" s="70"/>
      <c r="K61" s="70"/>
      <c r="L61" s="71"/>
      <c r="M61" s="72"/>
      <c r="N61" s="67"/>
      <c r="O61" s="67"/>
      <c r="P61" s="68"/>
    </row>
    <row r="62" spans="1:16" x14ac:dyDescent="0.25">
      <c r="C62" s="329"/>
      <c r="D62" s="329"/>
      <c r="E62" s="56"/>
      <c r="F62" s="56"/>
      <c r="G62" s="56"/>
      <c r="H62" s="56"/>
      <c r="I62" s="69"/>
      <c r="J62" s="70"/>
      <c r="K62" s="70"/>
      <c r="L62" s="71"/>
      <c r="M62" s="72"/>
      <c r="N62" s="67"/>
      <c r="O62" s="67"/>
      <c r="P62" s="68"/>
    </row>
    <row r="63" spans="1:16" x14ac:dyDescent="0.25">
      <c r="C63" s="329"/>
      <c r="D63" s="329"/>
      <c r="E63" s="56"/>
      <c r="F63" s="56"/>
      <c r="G63" s="56"/>
      <c r="H63" s="56"/>
      <c r="I63" s="69"/>
      <c r="J63" s="70"/>
      <c r="K63" s="70"/>
      <c r="L63" s="71"/>
      <c r="M63" s="72"/>
      <c r="N63" s="67"/>
      <c r="O63" s="67"/>
      <c r="P63" s="68"/>
    </row>
    <row r="64" spans="1:16" x14ac:dyDescent="0.25">
      <c r="C64" s="329"/>
      <c r="D64" s="329"/>
      <c r="E64" s="56"/>
      <c r="F64" s="56"/>
      <c r="G64" s="56"/>
      <c r="H64" s="56"/>
      <c r="I64" s="69"/>
      <c r="J64" s="70"/>
      <c r="K64" s="70"/>
      <c r="L64" s="71"/>
      <c r="M64" s="72"/>
      <c r="N64" s="67"/>
      <c r="O64" s="67"/>
      <c r="P64" s="68"/>
    </row>
    <row r="65" spans="3:16" x14ac:dyDescent="0.25">
      <c r="C65" s="329"/>
      <c r="D65" s="329"/>
      <c r="E65" s="56"/>
      <c r="F65" s="56"/>
      <c r="G65" s="56"/>
      <c r="H65" s="56"/>
      <c r="I65" s="69"/>
      <c r="J65" s="70"/>
      <c r="K65" s="70"/>
      <c r="L65" s="71"/>
      <c r="M65" s="72"/>
      <c r="N65" s="67"/>
      <c r="O65" s="67"/>
      <c r="P65" s="68"/>
    </row>
    <row r="66" spans="3:16" x14ac:dyDescent="0.25">
      <c r="C66" s="329"/>
      <c r="D66" s="329"/>
      <c r="E66" s="56"/>
      <c r="F66" s="56"/>
      <c r="G66" s="56"/>
      <c r="H66" s="56"/>
      <c r="I66" s="69"/>
      <c r="J66" s="70"/>
      <c r="K66" s="70"/>
      <c r="L66" s="71"/>
      <c r="M66" s="72"/>
      <c r="N66" s="67"/>
      <c r="O66" s="67"/>
      <c r="P66" s="68"/>
    </row>
    <row r="67" spans="3:16" x14ac:dyDescent="0.25">
      <c r="C67" s="329"/>
      <c r="D67" s="329"/>
      <c r="E67" s="54"/>
      <c r="F67" s="56"/>
      <c r="G67" s="56"/>
      <c r="H67" s="56"/>
      <c r="I67" s="54"/>
      <c r="J67" s="54"/>
      <c r="K67" s="54"/>
      <c r="L67" s="54"/>
      <c r="M67" s="54"/>
      <c r="N67" s="54"/>
      <c r="O67" s="54"/>
      <c r="P67" s="68"/>
    </row>
    <row r="68" spans="3:16" x14ac:dyDescent="0.25">
      <c r="C68" s="56"/>
      <c r="D68" s="54"/>
      <c r="E68" s="54"/>
      <c r="F68" s="56"/>
      <c r="G68" s="56"/>
      <c r="H68" s="56"/>
      <c r="I68" s="54"/>
      <c r="J68" s="54"/>
      <c r="K68" s="54"/>
      <c r="L68" s="54"/>
      <c r="M68" s="54"/>
      <c r="N68" s="54"/>
      <c r="O68" s="54"/>
      <c r="P68" s="68"/>
    </row>
    <row r="69" spans="3:16" x14ac:dyDescent="0.25">
      <c r="C69" s="56"/>
      <c r="D69" s="54"/>
      <c r="E69" s="54"/>
      <c r="F69" s="56"/>
      <c r="G69" s="56"/>
      <c r="H69" s="56"/>
      <c r="I69" s="54"/>
      <c r="J69" s="54"/>
      <c r="K69" s="54"/>
      <c r="L69" s="54"/>
      <c r="M69" s="54"/>
      <c r="N69" s="54"/>
      <c r="O69" s="54"/>
      <c r="P69" s="68"/>
    </row>
    <row r="70" spans="3:16" x14ac:dyDescent="0.25">
      <c r="C70" s="56"/>
      <c r="D70" s="54"/>
      <c r="E70" s="54"/>
      <c r="F70" s="56"/>
      <c r="G70" s="56"/>
      <c r="H70" s="56"/>
      <c r="I70" s="54"/>
      <c r="J70" s="54"/>
      <c r="K70" s="54"/>
      <c r="L70" s="54"/>
      <c r="M70" s="54"/>
      <c r="N70" s="54"/>
      <c r="O70" s="54"/>
      <c r="P70" s="68"/>
    </row>
    <row r="71" spans="3:16" x14ac:dyDescent="0.25">
      <c r="C71" s="56"/>
      <c r="D71" s="54"/>
      <c r="E71" s="54"/>
      <c r="F71" s="56"/>
      <c r="G71" s="56"/>
      <c r="H71" s="56"/>
      <c r="I71" s="54"/>
      <c r="J71" s="54"/>
      <c r="K71" s="54"/>
      <c r="L71" s="54"/>
      <c r="M71" s="54"/>
      <c r="N71" s="54"/>
      <c r="O71" s="54"/>
      <c r="P71" s="68"/>
    </row>
    <row r="72" spans="3:16" x14ac:dyDescent="0.25">
      <c r="C72" s="54"/>
      <c r="D72" s="54"/>
      <c r="E72" s="54"/>
      <c r="F72" s="56"/>
      <c r="G72" s="56"/>
      <c r="H72" s="56"/>
      <c r="I72" s="54"/>
      <c r="J72" s="54"/>
      <c r="K72" s="54"/>
      <c r="L72" s="54"/>
      <c r="M72" s="54"/>
      <c r="N72" s="54"/>
      <c r="O72" s="54"/>
      <c r="P72" s="68"/>
    </row>
    <row r="73" spans="3:16" x14ac:dyDescent="0.25">
      <c r="C73" s="54"/>
      <c r="D73" s="54"/>
      <c r="E73" s="54"/>
      <c r="F73" s="56"/>
      <c r="G73" s="56"/>
      <c r="H73" s="56"/>
      <c r="I73" s="54"/>
      <c r="J73" s="54"/>
      <c r="K73" s="54"/>
      <c r="L73" s="54"/>
      <c r="M73" s="54"/>
      <c r="N73" s="54"/>
      <c r="O73" s="54"/>
      <c r="P73" s="68"/>
    </row>
    <row r="74" spans="3:16" x14ac:dyDescent="0.25">
      <c r="C74" s="54"/>
      <c r="D74" s="54"/>
      <c r="E74" s="54"/>
      <c r="F74" s="56"/>
      <c r="G74" s="56"/>
      <c r="H74" s="56"/>
      <c r="I74" s="54"/>
      <c r="J74" s="54"/>
      <c r="K74" s="54"/>
      <c r="L74" s="54"/>
      <c r="M74" s="54"/>
      <c r="N74" s="54"/>
      <c r="O74" s="54"/>
      <c r="P74" s="68"/>
    </row>
    <row r="75" spans="3:16" x14ac:dyDescent="0.25"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68"/>
    </row>
    <row r="76" spans="3:16" x14ac:dyDescent="0.25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68"/>
    </row>
    <row r="77" spans="3:16" x14ac:dyDescent="0.25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68"/>
    </row>
    <row r="78" spans="3:16" x14ac:dyDescent="0.25">
      <c r="P78" s="68"/>
    </row>
    <row r="79" spans="3:16" x14ac:dyDescent="0.25">
      <c r="P79" s="68"/>
    </row>
  </sheetData>
  <sheetProtection algorithmName="SHA-512" hashValue="Y7zDNG0BaGp++3KFzzDlGlfVmmqEJrA0bCVKd3t9SykrhlcWkHG7XueIIndF2takqidT9IwiX59LmuIrqF3pCw==" saltValue="TSmg12ttU5jyCNv99seaug==" spinCount="100000" sheet="1" objects="1" scenarios="1" formatCells="0"/>
  <mergeCells count="40">
    <mergeCell ref="C59:D59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0:D60"/>
    <mergeCell ref="C61:D61"/>
    <mergeCell ref="C62:D62"/>
    <mergeCell ref="C63:D63"/>
    <mergeCell ref="C64:D64"/>
    <mergeCell ref="C65:D65"/>
    <mergeCell ref="C40:D40"/>
    <mergeCell ref="A1:P1"/>
    <mergeCell ref="C19:E19"/>
    <mergeCell ref="C6:D6"/>
    <mergeCell ref="C2:O2"/>
    <mergeCell ref="C4:H4"/>
    <mergeCell ref="F5:H5"/>
    <mergeCell ref="M5:O5"/>
    <mergeCell ref="F7:H7"/>
    <mergeCell ref="F8:H8"/>
    <mergeCell ref="F9:H9"/>
    <mergeCell ref="F16:H16"/>
    <mergeCell ref="F10:H10"/>
    <mergeCell ref="E11:H11"/>
    <mergeCell ref="C14:D14"/>
    <mergeCell ref="F14:H14"/>
    <mergeCell ref="E12:H12"/>
    <mergeCell ref="C13:D13"/>
    <mergeCell ref="E13:H13"/>
    <mergeCell ref="C34:D34"/>
    <mergeCell ref="H34:I34"/>
    <mergeCell ref="F15:H15"/>
    <mergeCell ref="D20:G20"/>
    <mergeCell ref="H20:K20"/>
  </mergeCells>
  <conditionalFormatting sqref="E23:E32 E36:E38 E42:E50 J36:J47 I23:I32 E15:E16">
    <cfRule type="cellIs" dxfId="5" priority="1" stopIfTrue="1" operator="lessThan">
      <formula>0.2</formula>
    </cfRule>
    <cfRule type="cellIs" dxfId="4" priority="2" stopIfTrue="1" operator="greaterThan">
      <formula>0.8</formula>
    </cfRule>
  </conditionalFormatting>
  <conditionalFormatting sqref="E13:F13">
    <cfRule type="cellIs" dxfId="3" priority="3" stopIfTrue="1" operator="equal">
      <formula>"Crítico"</formula>
    </cfRule>
  </conditionalFormatting>
  <conditionalFormatting sqref="L47:L66">
    <cfRule type="cellIs" dxfId="2" priority="4" stopIfTrue="1" operator="equal">
      <formula>"OK"</formula>
    </cfRule>
  </conditionalFormatting>
  <conditionalFormatting sqref="G42:G51 C51:F51 G35:G38 H48:H51 D52:D67 F52:H74 E52:E66 C52:C71">
    <cfRule type="cellIs" dxfId="1" priority="5" stopIfTrue="1" operator="lessThanOrEqual">
      <formula>$F$45</formula>
    </cfRule>
  </conditionalFormatting>
  <conditionalFormatting sqref="N7:O30">
    <cfRule type="cellIs" dxfId="0" priority="6" stopIfTrue="1" operator="between">
      <formula>5</formula>
      <formula>8</formula>
    </cfRule>
  </conditionalFormatting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14.5703125" customWidth="1"/>
    <col min="4" max="4" width="9.140625" style="40"/>
  </cols>
  <sheetData>
    <row r="1" spans="1:25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6"/>
    </row>
    <row r="2" spans="1:25" s="39" customFormat="1" ht="30.75" customHeight="1" thickBot="1" x14ac:dyDescent="0.3">
      <c r="A2" s="92" t="s">
        <v>130</v>
      </c>
      <c r="B2" s="4"/>
      <c r="C2" s="299" t="s">
        <v>253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6"/>
    </row>
    <row r="3" spans="1:25" s="39" customFormat="1" ht="30.75" customHeight="1" x14ac:dyDescent="0.35">
      <c r="A3" s="193"/>
      <c r="B3" s="54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194"/>
    </row>
    <row r="4" spans="1:25" x14ac:dyDescent="0.25">
      <c r="A4" s="2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"/>
    </row>
    <row r="5" spans="1:25" ht="18.75" x14ac:dyDescent="0.25">
      <c r="A5" s="2"/>
      <c r="B5" s="4"/>
      <c r="C5" s="4"/>
      <c r="D5" s="299" t="s">
        <v>6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4"/>
      <c r="Q5" s="4"/>
      <c r="R5" s="299" t="s">
        <v>224</v>
      </c>
      <c r="S5" s="300"/>
      <c r="T5" s="300"/>
      <c r="U5" s="300"/>
      <c r="V5" s="300"/>
      <c r="W5" s="300"/>
      <c r="X5" s="300"/>
      <c r="Y5" s="306"/>
    </row>
    <row r="6" spans="1:25" x14ac:dyDescent="0.25">
      <c r="A6" s="2"/>
      <c r="B6" s="4"/>
      <c r="C6" s="120" t="s">
        <v>109</v>
      </c>
      <c r="D6" s="120" t="s">
        <v>225</v>
      </c>
      <c r="E6" s="118" t="s">
        <v>227</v>
      </c>
      <c r="F6" s="118" t="s">
        <v>228</v>
      </c>
      <c r="G6" s="118" t="s">
        <v>229</v>
      </c>
      <c r="H6" s="118" t="s">
        <v>230</v>
      </c>
      <c r="I6" s="118" t="s">
        <v>231</v>
      </c>
      <c r="J6" s="118" t="s">
        <v>232</v>
      </c>
      <c r="K6" s="118" t="s">
        <v>233</v>
      </c>
      <c r="L6" s="118" t="s">
        <v>234</v>
      </c>
      <c r="M6" s="118" t="s">
        <v>235</v>
      </c>
      <c r="N6" s="118" t="s">
        <v>236</v>
      </c>
      <c r="O6" s="118" t="s">
        <v>237</v>
      </c>
      <c r="P6" s="4"/>
      <c r="Q6" s="120" t="s">
        <v>109</v>
      </c>
      <c r="R6" s="118" t="s">
        <v>226</v>
      </c>
      <c r="S6" s="118" t="s">
        <v>227</v>
      </c>
      <c r="T6" s="118" t="s">
        <v>228</v>
      </c>
      <c r="U6" s="118" t="s">
        <v>229</v>
      </c>
      <c r="V6" s="118" t="s">
        <v>230</v>
      </c>
      <c r="W6" s="118" t="s">
        <v>231</v>
      </c>
      <c r="X6" s="118" t="s">
        <v>232</v>
      </c>
      <c r="Y6" s="132" t="s">
        <v>233</v>
      </c>
    </row>
    <row r="7" spans="1:25" x14ac:dyDescent="0.25">
      <c r="A7" s="2"/>
      <c r="B7" s="4"/>
      <c r="C7" s="33" t="s">
        <v>60</v>
      </c>
      <c r="D7" s="78">
        <v>59.6</v>
      </c>
      <c r="E7" s="78">
        <f>D7*0.96</f>
        <v>57.216000000000001</v>
      </c>
      <c r="F7" s="78">
        <f>D7*0.91</f>
        <v>54.236000000000004</v>
      </c>
      <c r="G7" s="78">
        <f>D7*0.82</f>
        <v>48.872</v>
      </c>
      <c r="H7" s="78">
        <f>D7*0.74</f>
        <v>44.103999999999999</v>
      </c>
      <c r="I7" s="78">
        <f>D7*0.65</f>
        <v>38.74</v>
      </c>
      <c r="J7" s="78">
        <f>D7*0.58</f>
        <v>34.567999999999998</v>
      </c>
      <c r="K7" s="78">
        <f>D7*0.5</f>
        <v>29.8</v>
      </c>
      <c r="L7" s="78">
        <f>D7*0.45</f>
        <v>26.82</v>
      </c>
      <c r="M7" s="78">
        <f>D7*0.4</f>
        <v>23.840000000000003</v>
      </c>
      <c r="N7" s="78">
        <f>D7*0.33</f>
        <v>19.668000000000003</v>
      </c>
      <c r="O7" s="78">
        <f>D7*0.25</f>
        <v>14.9</v>
      </c>
      <c r="P7" s="4"/>
      <c r="Q7" s="33" t="s">
        <v>60</v>
      </c>
      <c r="R7" s="78">
        <v>58.7</v>
      </c>
      <c r="S7" s="78">
        <f t="shared" ref="S7:S9" si="0">R7*0.9</f>
        <v>52.830000000000005</v>
      </c>
      <c r="T7" s="78">
        <f>R7*0.75</f>
        <v>44.025000000000006</v>
      </c>
      <c r="U7" s="78">
        <f>R7*0.62</f>
        <v>36.393999999999998</v>
      </c>
      <c r="V7" s="78">
        <f>R7*0.5</f>
        <v>29.35</v>
      </c>
      <c r="W7" s="78">
        <f>R7*0.4</f>
        <v>23.480000000000004</v>
      </c>
      <c r="X7" s="78">
        <f>R7*0.3</f>
        <v>17.61</v>
      </c>
      <c r="Y7" s="195">
        <f>R7*0.22</f>
        <v>12.914000000000001</v>
      </c>
    </row>
    <row r="8" spans="1:25" x14ac:dyDescent="0.25">
      <c r="A8" s="2"/>
      <c r="B8" s="4"/>
      <c r="C8" s="33" t="s">
        <v>63</v>
      </c>
      <c r="D8" s="78">
        <v>48.5</v>
      </c>
      <c r="E8" s="78">
        <f t="shared" ref="E8:E16" si="1">D8*0.96</f>
        <v>46.559999999999995</v>
      </c>
      <c r="F8" s="78">
        <f t="shared" ref="F8:F16" si="2">D8*0.91</f>
        <v>44.134999999999998</v>
      </c>
      <c r="G8" s="78">
        <f t="shared" ref="G8:G16" si="3">D8*0.82</f>
        <v>39.769999999999996</v>
      </c>
      <c r="H8" s="78">
        <f t="shared" ref="H8:H16" si="4">D8*0.74</f>
        <v>35.89</v>
      </c>
      <c r="I8" s="78">
        <f t="shared" ref="I8:I16" si="5">D8*0.65</f>
        <v>31.525000000000002</v>
      </c>
      <c r="J8" s="78">
        <f t="shared" ref="J8:J16" si="6">D8*0.58</f>
        <v>28.13</v>
      </c>
      <c r="K8" s="78">
        <f t="shared" ref="K8:K16" si="7">D8*0.5</f>
        <v>24.25</v>
      </c>
      <c r="L8" s="78">
        <f t="shared" ref="L8:L16" si="8">D8*0.45</f>
        <v>21.824999999999999</v>
      </c>
      <c r="M8" s="78">
        <f t="shared" ref="M8:M16" si="9">D8*0.4</f>
        <v>19.400000000000002</v>
      </c>
      <c r="N8" s="78">
        <f t="shared" ref="N8:N16" si="10">D8*0.33</f>
        <v>16.004999999999999</v>
      </c>
      <c r="O8" s="78">
        <f t="shared" ref="O8:O16" si="11">D8*0.25</f>
        <v>12.125</v>
      </c>
      <c r="P8" s="4"/>
      <c r="Q8" s="33" t="s">
        <v>63</v>
      </c>
      <c r="R8" s="78">
        <v>47.5</v>
      </c>
      <c r="S8" s="78">
        <f t="shared" si="0"/>
        <v>42.75</v>
      </c>
      <c r="T8" s="78">
        <f>R8*0.75</f>
        <v>35.625</v>
      </c>
      <c r="U8" s="78">
        <f>R8*0.62</f>
        <v>29.45</v>
      </c>
      <c r="V8" s="78">
        <f>R8*0.5</f>
        <v>23.75</v>
      </c>
      <c r="W8" s="78">
        <f>R8*0.4</f>
        <v>19</v>
      </c>
      <c r="X8" s="78">
        <f>R8*0.3</f>
        <v>14.25</v>
      </c>
      <c r="Y8" s="195">
        <f>R8*0.22</f>
        <v>10.45</v>
      </c>
    </row>
    <row r="9" spans="1:25" x14ac:dyDescent="0.25">
      <c r="A9" s="2"/>
      <c r="B9" s="4"/>
      <c r="C9" s="33" t="s">
        <v>65</v>
      </c>
      <c r="D9" s="78">
        <v>44.3</v>
      </c>
      <c r="E9" s="78">
        <f t="shared" si="1"/>
        <v>42.527999999999999</v>
      </c>
      <c r="F9" s="78">
        <f t="shared" si="2"/>
        <v>40.312999999999995</v>
      </c>
      <c r="G9" s="78">
        <f t="shared" si="3"/>
        <v>36.325999999999993</v>
      </c>
      <c r="H9" s="78">
        <f t="shared" si="4"/>
        <v>32.781999999999996</v>
      </c>
      <c r="I9" s="78">
        <f t="shared" si="5"/>
        <v>28.794999999999998</v>
      </c>
      <c r="J9" s="78">
        <f t="shared" si="6"/>
        <v>25.693999999999996</v>
      </c>
      <c r="K9" s="78">
        <f t="shared" si="7"/>
        <v>22.15</v>
      </c>
      <c r="L9" s="78">
        <f t="shared" si="8"/>
        <v>19.934999999999999</v>
      </c>
      <c r="M9" s="78">
        <f t="shared" si="9"/>
        <v>17.72</v>
      </c>
      <c r="N9" s="78">
        <f t="shared" si="10"/>
        <v>14.619</v>
      </c>
      <c r="O9" s="78">
        <f t="shared" si="11"/>
        <v>11.074999999999999</v>
      </c>
      <c r="P9" s="4"/>
      <c r="Q9" s="33" t="s">
        <v>65</v>
      </c>
      <c r="R9" s="78">
        <v>43.2</v>
      </c>
      <c r="S9" s="78">
        <f t="shared" si="0"/>
        <v>38.880000000000003</v>
      </c>
      <c r="T9" s="78">
        <f t="shared" ref="T9:T17" si="12">R9*0.75</f>
        <v>32.400000000000006</v>
      </c>
      <c r="U9" s="78">
        <f t="shared" ref="U9:U17" si="13">R9*0.62</f>
        <v>26.784000000000002</v>
      </c>
      <c r="V9" s="78">
        <f t="shared" ref="V9:V17" si="14">R9*0.5</f>
        <v>21.6</v>
      </c>
      <c r="W9" s="78">
        <f t="shared" ref="W9:W17" si="15">R9*0.4</f>
        <v>17.28</v>
      </c>
      <c r="X9" s="78">
        <f t="shared" ref="X9:X17" si="16">R9*0.3</f>
        <v>12.96</v>
      </c>
      <c r="Y9" s="195">
        <f t="shared" ref="Y9:Y17" si="17">R9*0.22</f>
        <v>9.5040000000000013</v>
      </c>
    </row>
    <row r="10" spans="1:25" x14ac:dyDescent="0.25">
      <c r="A10" s="2"/>
      <c r="B10" s="4"/>
      <c r="C10" s="33" t="s">
        <v>66</v>
      </c>
      <c r="D10" s="78">
        <v>36.6</v>
      </c>
      <c r="E10" s="78">
        <f t="shared" si="1"/>
        <v>35.136000000000003</v>
      </c>
      <c r="F10" s="78">
        <f t="shared" si="2"/>
        <v>33.306000000000004</v>
      </c>
      <c r="G10" s="78">
        <f t="shared" si="3"/>
        <v>30.012</v>
      </c>
      <c r="H10" s="78">
        <f t="shared" si="4"/>
        <v>27.084</v>
      </c>
      <c r="I10" s="78">
        <f t="shared" si="5"/>
        <v>23.790000000000003</v>
      </c>
      <c r="J10" s="78">
        <f t="shared" si="6"/>
        <v>21.227999999999998</v>
      </c>
      <c r="K10" s="78">
        <f t="shared" si="7"/>
        <v>18.3</v>
      </c>
      <c r="L10" s="78">
        <f t="shared" si="8"/>
        <v>16.470000000000002</v>
      </c>
      <c r="M10" s="78">
        <f t="shared" si="9"/>
        <v>14.64</v>
      </c>
      <c r="N10" s="78">
        <f t="shared" si="10"/>
        <v>12.078000000000001</v>
      </c>
      <c r="O10" s="78">
        <f t="shared" si="11"/>
        <v>9.15</v>
      </c>
      <c r="P10" s="4"/>
      <c r="Q10" s="33" t="s">
        <v>66</v>
      </c>
      <c r="R10" s="78">
        <v>35.5</v>
      </c>
      <c r="S10" s="78">
        <f t="shared" ref="S10:S17" si="18">R10*0.9</f>
        <v>31.95</v>
      </c>
      <c r="T10" s="78">
        <f t="shared" si="12"/>
        <v>26.625</v>
      </c>
      <c r="U10" s="78">
        <f t="shared" si="13"/>
        <v>22.01</v>
      </c>
      <c r="V10" s="78">
        <f t="shared" si="14"/>
        <v>17.75</v>
      </c>
      <c r="W10" s="78">
        <f t="shared" si="15"/>
        <v>14.200000000000001</v>
      </c>
      <c r="X10" s="78">
        <f t="shared" si="16"/>
        <v>10.65</v>
      </c>
      <c r="Y10" s="195">
        <f t="shared" si="17"/>
        <v>7.81</v>
      </c>
    </row>
    <row r="11" spans="1:25" x14ac:dyDescent="0.25">
      <c r="A11" s="2"/>
      <c r="B11" s="4"/>
      <c r="C11" s="33" t="s">
        <v>68</v>
      </c>
      <c r="D11" s="78">
        <v>33</v>
      </c>
      <c r="E11" s="78">
        <f t="shared" si="1"/>
        <v>31.68</v>
      </c>
      <c r="F11" s="78">
        <f t="shared" si="2"/>
        <v>30.03</v>
      </c>
      <c r="G11" s="78">
        <f t="shared" si="3"/>
        <v>27.06</v>
      </c>
      <c r="H11" s="78">
        <f t="shared" si="4"/>
        <v>24.419999999999998</v>
      </c>
      <c r="I11" s="78">
        <f t="shared" si="5"/>
        <v>21.45</v>
      </c>
      <c r="J11" s="78">
        <f t="shared" si="6"/>
        <v>19.139999999999997</v>
      </c>
      <c r="K11" s="78">
        <f t="shared" si="7"/>
        <v>16.5</v>
      </c>
      <c r="L11" s="78">
        <f t="shared" si="8"/>
        <v>14.85</v>
      </c>
      <c r="M11" s="78">
        <f t="shared" si="9"/>
        <v>13.200000000000001</v>
      </c>
      <c r="N11" s="78">
        <f t="shared" si="10"/>
        <v>10.89</v>
      </c>
      <c r="O11" s="78">
        <f t="shared" si="11"/>
        <v>8.25</v>
      </c>
      <c r="P11" s="4"/>
      <c r="Q11" s="33" t="s">
        <v>68</v>
      </c>
      <c r="R11" s="78">
        <v>32</v>
      </c>
      <c r="S11" s="78">
        <f t="shared" si="18"/>
        <v>28.8</v>
      </c>
      <c r="T11" s="78">
        <f t="shared" si="12"/>
        <v>24</v>
      </c>
      <c r="U11" s="78">
        <f t="shared" si="13"/>
        <v>19.84</v>
      </c>
      <c r="V11" s="78">
        <f t="shared" si="14"/>
        <v>16</v>
      </c>
      <c r="W11" s="78">
        <f t="shared" si="15"/>
        <v>12.8</v>
      </c>
      <c r="X11" s="78">
        <f t="shared" si="16"/>
        <v>9.6</v>
      </c>
      <c r="Y11" s="195">
        <f t="shared" si="17"/>
        <v>7.04</v>
      </c>
    </row>
    <row r="12" spans="1:25" x14ac:dyDescent="0.25">
      <c r="A12" s="2"/>
      <c r="B12" s="4"/>
      <c r="C12" s="33" t="s">
        <v>69</v>
      </c>
      <c r="D12" s="78">
        <v>28.1</v>
      </c>
      <c r="E12" s="78">
        <f t="shared" si="1"/>
        <v>26.975999999999999</v>
      </c>
      <c r="F12" s="78">
        <f t="shared" si="2"/>
        <v>25.571000000000002</v>
      </c>
      <c r="G12" s="78">
        <f t="shared" si="3"/>
        <v>23.041999999999998</v>
      </c>
      <c r="H12" s="78">
        <f t="shared" si="4"/>
        <v>20.794</v>
      </c>
      <c r="I12" s="78">
        <f t="shared" si="5"/>
        <v>18.265000000000001</v>
      </c>
      <c r="J12" s="78">
        <f t="shared" si="6"/>
        <v>16.297999999999998</v>
      </c>
      <c r="K12" s="78">
        <f t="shared" si="7"/>
        <v>14.05</v>
      </c>
      <c r="L12" s="78">
        <f t="shared" si="8"/>
        <v>12.645000000000001</v>
      </c>
      <c r="M12" s="78">
        <f t="shared" si="9"/>
        <v>11.240000000000002</v>
      </c>
      <c r="N12" s="78">
        <f t="shared" si="10"/>
        <v>9.2730000000000015</v>
      </c>
      <c r="O12" s="78">
        <f t="shared" si="11"/>
        <v>7.0250000000000004</v>
      </c>
      <c r="P12" s="4"/>
      <c r="Q12" s="33" t="s">
        <v>69</v>
      </c>
      <c r="R12" s="78">
        <v>27.11</v>
      </c>
      <c r="S12" s="78">
        <f t="shared" si="18"/>
        <v>24.399000000000001</v>
      </c>
      <c r="T12" s="78">
        <f t="shared" si="12"/>
        <v>20.3325</v>
      </c>
      <c r="U12" s="78">
        <f t="shared" si="13"/>
        <v>16.808199999999999</v>
      </c>
      <c r="V12" s="78">
        <f t="shared" si="14"/>
        <v>13.555</v>
      </c>
      <c r="W12" s="78">
        <f t="shared" si="15"/>
        <v>10.844000000000001</v>
      </c>
      <c r="X12" s="78">
        <f t="shared" si="16"/>
        <v>8.1329999999999991</v>
      </c>
      <c r="Y12" s="195">
        <f t="shared" si="17"/>
        <v>5.9641999999999999</v>
      </c>
    </row>
    <row r="13" spans="1:25" x14ac:dyDescent="0.25">
      <c r="A13" s="2"/>
      <c r="B13" s="4"/>
      <c r="C13" s="33" t="s">
        <v>71</v>
      </c>
      <c r="D13" s="78">
        <v>29.6</v>
      </c>
      <c r="E13" s="78">
        <f t="shared" si="1"/>
        <v>28.416</v>
      </c>
      <c r="F13" s="78">
        <f t="shared" si="2"/>
        <v>26.936000000000003</v>
      </c>
      <c r="G13" s="78">
        <f t="shared" si="3"/>
        <v>24.271999999999998</v>
      </c>
      <c r="H13" s="78">
        <f t="shared" si="4"/>
        <v>21.904</v>
      </c>
      <c r="I13" s="78">
        <f t="shared" si="5"/>
        <v>19.240000000000002</v>
      </c>
      <c r="J13" s="78">
        <f t="shared" si="6"/>
        <v>17.167999999999999</v>
      </c>
      <c r="K13" s="78">
        <f t="shared" si="7"/>
        <v>14.8</v>
      </c>
      <c r="L13" s="78">
        <f t="shared" si="8"/>
        <v>13.32</v>
      </c>
      <c r="M13" s="78">
        <f t="shared" si="9"/>
        <v>11.840000000000002</v>
      </c>
      <c r="N13" s="78">
        <f t="shared" si="10"/>
        <v>9.7680000000000007</v>
      </c>
      <c r="O13" s="78">
        <f t="shared" si="11"/>
        <v>7.4</v>
      </c>
      <c r="P13" s="4"/>
      <c r="Q13" s="33" t="s">
        <v>71</v>
      </c>
      <c r="R13" s="78">
        <v>28.5</v>
      </c>
      <c r="S13" s="78">
        <f t="shared" si="18"/>
        <v>25.650000000000002</v>
      </c>
      <c r="T13" s="78">
        <f t="shared" si="12"/>
        <v>21.375</v>
      </c>
      <c r="U13" s="78">
        <f t="shared" si="13"/>
        <v>17.669999999999998</v>
      </c>
      <c r="V13" s="78">
        <f t="shared" si="14"/>
        <v>14.25</v>
      </c>
      <c r="W13" s="78">
        <f t="shared" si="15"/>
        <v>11.4</v>
      </c>
      <c r="X13" s="78">
        <f t="shared" si="16"/>
        <v>8.5499999999999989</v>
      </c>
      <c r="Y13" s="195">
        <f t="shared" si="17"/>
        <v>6.2700000000000005</v>
      </c>
    </row>
    <row r="14" spans="1:25" x14ac:dyDescent="0.25">
      <c r="A14" s="2"/>
      <c r="B14" s="4"/>
      <c r="C14" s="33" t="s">
        <v>73</v>
      </c>
      <c r="D14" s="78">
        <v>26</v>
      </c>
      <c r="E14" s="78">
        <f t="shared" si="1"/>
        <v>24.96</v>
      </c>
      <c r="F14" s="78">
        <f t="shared" si="2"/>
        <v>23.66</v>
      </c>
      <c r="G14" s="78">
        <f t="shared" si="3"/>
        <v>21.32</v>
      </c>
      <c r="H14" s="78">
        <f t="shared" si="4"/>
        <v>19.239999999999998</v>
      </c>
      <c r="I14" s="78">
        <f t="shared" si="5"/>
        <v>16.900000000000002</v>
      </c>
      <c r="J14" s="78">
        <f t="shared" si="6"/>
        <v>15.079999999999998</v>
      </c>
      <c r="K14" s="78">
        <f t="shared" si="7"/>
        <v>13</v>
      </c>
      <c r="L14" s="78">
        <f t="shared" si="8"/>
        <v>11.700000000000001</v>
      </c>
      <c r="M14" s="78">
        <f t="shared" si="9"/>
        <v>10.4</v>
      </c>
      <c r="N14" s="78">
        <f t="shared" si="10"/>
        <v>8.58</v>
      </c>
      <c r="O14" s="78">
        <f t="shared" si="11"/>
        <v>6.5</v>
      </c>
      <c r="P14" s="4"/>
      <c r="Q14" s="33" t="s">
        <v>73</v>
      </c>
      <c r="R14" s="78">
        <v>24.9</v>
      </c>
      <c r="S14" s="78">
        <f t="shared" si="18"/>
        <v>22.41</v>
      </c>
      <c r="T14" s="78">
        <f t="shared" si="12"/>
        <v>18.674999999999997</v>
      </c>
      <c r="U14" s="78">
        <f t="shared" si="13"/>
        <v>15.437999999999999</v>
      </c>
      <c r="V14" s="78">
        <f t="shared" si="14"/>
        <v>12.45</v>
      </c>
      <c r="W14" s="78">
        <f t="shared" si="15"/>
        <v>9.9600000000000009</v>
      </c>
      <c r="X14" s="78">
        <f t="shared" si="16"/>
        <v>7.4699999999999989</v>
      </c>
      <c r="Y14" s="195">
        <f t="shared" si="17"/>
        <v>5.4779999999999998</v>
      </c>
    </row>
    <row r="15" spans="1:25" x14ac:dyDescent="0.25">
      <c r="A15" s="2"/>
      <c r="B15" s="4"/>
      <c r="C15" s="33" t="s">
        <v>75</v>
      </c>
      <c r="D15" s="78">
        <v>22.5</v>
      </c>
      <c r="E15" s="78">
        <f t="shared" si="1"/>
        <v>21.599999999999998</v>
      </c>
      <c r="F15" s="78">
        <f t="shared" si="2"/>
        <v>20.475000000000001</v>
      </c>
      <c r="G15" s="78">
        <f t="shared" si="3"/>
        <v>18.45</v>
      </c>
      <c r="H15" s="78">
        <f t="shared" si="4"/>
        <v>16.649999999999999</v>
      </c>
      <c r="I15" s="78">
        <f t="shared" si="5"/>
        <v>14.625</v>
      </c>
      <c r="J15" s="78">
        <f t="shared" si="6"/>
        <v>13.049999999999999</v>
      </c>
      <c r="K15" s="78">
        <f t="shared" si="7"/>
        <v>11.25</v>
      </c>
      <c r="L15" s="78">
        <f t="shared" si="8"/>
        <v>10.125</v>
      </c>
      <c r="M15" s="78">
        <f t="shared" si="9"/>
        <v>9</v>
      </c>
      <c r="N15" s="78">
        <f t="shared" si="10"/>
        <v>7.4250000000000007</v>
      </c>
      <c r="O15" s="78">
        <f t="shared" si="11"/>
        <v>5.625</v>
      </c>
      <c r="P15" s="4"/>
      <c r="Q15" s="33" t="s">
        <v>75</v>
      </c>
      <c r="R15" s="78">
        <v>21.5</v>
      </c>
      <c r="S15" s="78">
        <f t="shared" si="18"/>
        <v>19.350000000000001</v>
      </c>
      <c r="T15" s="78">
        <f t="shared" si="12"/>
        <v>16.125</v>
      </c>
      <c r="U15" s="78">
        <f t="shared" si="13"/>
        <v>13.33</v>
      </c>
      <c r="V15" s="78">
        <f t="shared" si="14"/>
        <v>10.75</v>
      </c>
      <c r="W15" s="78">
        <f t="shared" si="15"/>
        <v>8.6</v>
      </c>
      <c r="X15" s="78">
        <f t="shared" si="16"/>
        <v>6.45</v>
      </c>
      <c r="Y15" s="195">
        <f t="shared" si="17"/>
        <v>4.7300000000000004</v>
      </c>
    </row>
    <row r="16" spans="1:25" x14ac:dyDescent="0.25">
      <c r="A16" s="2"/>
      <c r="B16" s="4"/>
      <c r="C16" s="33" t="s">
        <v>78</v>
      </c>
      <c r="D16" s="78">
        <v>19.3</v>
      </c>
      <c r="E16" s="78">
        <f t="shared" si="1"/>
        <v>18.527999999999999</v>
      </c>
      <c r="F16" s="78">
        <f t="shared" si="2"/>
        <v>17.563000000000002</v>
      </c>
      <c r="G16" s="78">
        <f t="shared" si="3"/>
        <v>15.826000000000001</v>
      </c>
      <c r="H16" s="78">
        <f t="shared" si="4"/>
        <v>14.282</v>
      </c>
      <c r="I16" s="78">
        <f t="shared" si="5"/>
        <v>12.545000000000002</v>
      </c>
      <c r="J16" s="78">
        <f t="shared" si="6"/>
        <v>11.193999999999999</v>
      </c>
      <c r="K16" s="78">
        <f t="shared" si="7"/>
        <v>9.65</v>
      </c>
      <c r="L16" s="78">
        <f t="shared" si="8"/>
        <v>8.6850000000000005</v>
      </c>
      <c r="M16" s="78">
        <f t="shared" si="9"/>
        <v>7.7200000000000006</v>
      </c>
      <c r="N16" s="78">
        <f t="shared" si="10"/>
        <v>6.3690000000000007</v>
      </c>
      <c r="O16" s="78">
        <f t="shared" si="11"/>
        <v>4.8250000000000002</v>
      </c>
      <c r="P16" s="4"/>
      <c r="Q16" s="33" t="s">
        <v>78</v>
      </c>
      <c r="R16" s="78">
        <v>18.600000000000001</v>
      </c>
      <c r="S16" s="78">
        <f t="shared" si="18"/>
        <v>16.740000000000002</v>
      </c>
      <c r="T16" s="78">
        <f t="shared" si="12"/>
        <v>13.950000000000001</v>
      </c>
      <c r="U16" s="78">
        <f t="shared" si="13"/>
        <v>11.532</v>
      </c>
      <c r="V16" s="78">
        <f t="shared" si="14"/>
        <v>9.3000000000000007</v>
      </c>
      <c r="W16" s="78">
        <f t="shared" si="15"/>
        <v>7.4400000000000013</v>
      </c>
      <c r="X16" s="78">
        <f t="shared" si="16"/>
        <v>5.58</v>
      </c>
      <c r="Y16" s="195">
        <f t="shared" si="17"/>
        <v>4.0920000000000005</v>
      </c>
    </row>
    <row r="17" spans="1:25" s="39" customFormat="1" x14ac:dyDescent="0.25">
      <c r="A17" s="2"/>
      <c r="B17" s="4"/>
      <c r="C17" s="5"/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4"/>
      <c r="Q17" s="33" t="s">
        <v>80</v>
      </c>
      <c r="R17" s="78">
        <v>16.5</v>
      </c>
      <c r="S17" s="78">
        <f t="shared" si="18"/>
        <v>14.85</v>
      </c>
      <c r="T17" s="78">
        <f t="shared" si="12"/>
        <v>12.375</v>
      </c>
      <c r="U17" s="78">
        <f t="shared" si="13"/>
        <v>10.23</v>
      </c>
      <c r="V17" s="78">
        <f t="shared" si="14"/>
        <v>8.25</v>
      </c>
      <c r="W17" s="78">
        <f t="shared" si="15"/>
        <v>6.6000000000000005</v>
      </c>
      <c r="X17" s="78">
        <f t="shared" si="16"/>
        <v>4.95</v>
      </c>
      <c r="Y17" s="195">
        <f t="shared" si="17"/>
        <v>3.63</v>
      </c>
    </row>
    <row r="18" spans="1:25" x14ac:dyDescent="0.25">
      <c r="A18" s="2"/>
      <c r="B18" s="4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"/>
    </row>
    <row r="19" spans="1:25" x14ac:dyDescent="0.25">
      <c r="A19" s="2"/>
      <c r="B19" s="4"/>
      <c r="C19" s="4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"/>
    </row>
    <row r="20" spans="1:25" x14ac:dyDescent="0.25">
      <c r="A20" s="2"/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"/>
    </row>
    <row r="21" spans="1:25" x14ac:dyDescent="0.25">
      <c r="A21" s="2"/>
      <c r="B21" s="4"/>
      <c r="C21" s="4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3"/>
    </row>
    <row r="22" spans="1:25" ht="18.75" x14ac:dyDescent="0.25">
      <c r="A22" s="2"/>
      <c r="B22" s="4"/>
      <c r="C22" s="4"/>
      <c r="D22" s="4"/>
      <c r="E22" s="299" t="s">
        <v>8</v>
      </c>
      <c r="F22" s="300"/>
      <c r="G22" s="300"/>
      <c r="H22" s="300"/>
      <c r="I22" s="300"/>
      <c r="J22" s="300"/>
      <c r="K22" s="300"/>
      <c r="L22" s="300"/>
      <c r="M22" s="300"/>
      <c r="N22" s="4"/>
      <c r="O22" s="4"/>
      <c r="P22" s="4"/>
      <c r="Q22" s="4"/>
      <c r="R22" s="299" t="s">
        <v>247</v>
      </c>
      <c r="S22" s="300"/>
      <c r="T22" s="300"/>
      <c r="U22" s="300"/>
      <c r="V22" s="300"/>
      <c r="W22" s="300"/>
      <c r="X22" s="300"/>
      <c r="Y22" s="306"/>
    </row>
    <row r="23" spans="1:25" x14ac:dyDescent="0.25">
      <c r="A23" s="2"/>
      <c r="B23" s="4"/>
      <c r="C23" s="4"/>
      <c r="D23" s="120" t="s">
        <v>238</v>
      </c>
      <c r="E23" s="120" t="s">
        <v>239</v>
      </c>
      <c r="F23" s="120" t="s">
        <v>225</v>
      </c>
      <c r="G23" s="120" t="s">
        <v>240</v>
      </c>
      <c r="H23" s="120" t="s">
        <v>241</v>
      </c>
      <c r="I23" s="120" t="s">
        <v>242</v>
      </c>
      <c r="J23" s="120" t="s">
        <v>233</v>
      </c>
      <c r="K23" s="120" t="s">
        <v>243</v>
      </c>
      <c r="L23" s="120" t="s">
        <v>237</v>
      </c>
      <c r="M23" s="118" t="s">
        <v>244</v>
      </c>
      <c r="N23" s="4"/>
      <c r="O23" s="4"/>
      <c r="P23" s="4"/>
      <c r="Q23" s="120" t="s">
        <v>248</v>
      </c>
      <c r="R23" s="264" t="s">
        <v>249</v>
      </c>
      <c r="S23" s="330"/>
      <c r="T23" s="264" t="s">
        <v>250</v>
      </c>
      <c r="U23" s="330"/>
      <c r="V23" s="264" t="s">
        <v>251</v>
      </c>
      <c r="W23" s="330"/>
      <c r="X23" s="264" t="s">
        <v>252</v>
      </c>
      <c r="Y23" s="333"/>
    </row>
    <row r="24" spans="1:25" x14ac:dyDescent="0.25">
      <c r="A24" s="2"/>
      <c r="B24" s="4"/>
      <c r="C24" s="4"/>
      <c r="D24" s="33">
        <v>1</v>
      </c>
      <c r="E24" s="81">
        <v>27.8</v>
      </c>
      <c r="F24" s="81">
        <v>23.8</v>
      </c>
      <c r="G24" s="81">
        <v>20.2</v>
      </c>
      <c r="H24" s="81">
        <v>17.3</v>
      </c>
      <c r="I24" s="81">
        <v>14.5</v>
      </c>
      <c r="J24" s="81">
        <v>12.2</v>
      </c>
      <c r="K24" s="81">
        <v>10.3</v>
      </c>
      <c r="L24" s="81">
        <v>8.6</v>
      </c>
      <c r="M24" s="81">
        <v>6.1</v>
      </c>
      <c r="N24" s="4"/>
      <c r="O24" s="4"/>
      <c r="P24" s="4"/>
      <c r="Q24" s="33">
        <v>12</v>
      </c>
      <c r="R24" s="331">
        <v>6</v>
      </c>
      <c r="S24" s="332"/>
      <c r="T24" s="331">
        <f>R24*0.8</f>
        <v>4.8000000000000007</v>
      </c>
      <c r="U24" s="332"/>
      <c r="V24" s="331">
        <f>R24*0.6</f>
        <v>3.5999999999999996</v>
      </c>
      <c r="W24" s="332"/>
      <c r="X24" s="331">
        <f>R24*0.4</f>
        <v>2.4000000000000004</v>
      </c>
      <c r="Y24" s="334"/>
    </row>
    <row r="25" spans="1:25" x14ac:dyDescent="0.25">
      <c r="A25" s="2"/>
      <c r="B25" s="4"/>
      <c r="C25" s="4"/>
      <c r="D25" s="33">
        <v>5</v>
      </c>
      <c r="E25" s="81">
        <v>26.6</v>
      </c>
      <c r="F25" s="81">
        <v>22.3</v>
      </c>
      <c r="G25" s="81">
        <v>19</v>
      </c>
      <c r="H25" s="81">
        <v>16</v>
      </c>
      <c r="I25" s="81">
        <v>13.5</v>
      </c>
      <c r="J25" s="81">
        <v>11.4</v>
      </c>
      <c r="K25" s="81">
        <v>9.5</v>
      </c>
      <c r="L25" s="81">
        <v>7.6</v>
      </c>
      <c r="M25" s="81">
        <v>4</v>
      </c>
      <c r="N25" s="4"/>
      <c r="O25" s="4"/>
      <c r="P25" s="4"/>
      <c r="Q25" s="33">
        <v>15</v>
      </c>
      <c r="R25" s="331">
        <v>7.5</v>
      </c>
      <c r="S25" s="332"/>
      <c r="T25" s="331">
        <f t="shared" ref="T25:T26" si="19">R25*0.8</f>
        <v>6</v>
      </c>
      <c r="U25" s="332"/>
      <c r="V25" s="331">
        <f t="shared" ref="V25:V26" si="20">R25*0.6</f>
        <v>4.5</v>
      </c>
      <c r="W25" s="332"/>
      <c r="X25" s="331">
        <f t="shared" ref="X25:X26" si="21">R25*0.4</f>
        <v>3</v>
      </c>
      <c r="Y25" s="334"/>
    </row>
    <row r="26" spans="1:25" x14ac:dyDescent="0.25">
      <c r="A26" s="2"/>
      <c r="B26" s="4"/>
      <c r="C26" s="4"/>
      <c r="D26" s="33">
        <v>10</v>
      </c>
      <c r="E26" s="81">
        <v>25.5</v>
      </c>
      <c r="F26" s="81">
        <v>21.7</v>
      </c>
      <c r="G26" s="81">
        <v>18.3</v>
      </c>
      <c r="H26" s="81">
        <v>15.6</v>
      </c>
      <c r="I26" s="81">
        <v>13.1</v>
      </c>
      <c r="J26" s="81">
        <v>11</v>
      </c>
      <c r="K26" s="81">
        <v>9.3000000000000007</v>
      </c>
      <c r="L26" s="81">
        <v>6.3</v>
      </c>
      <c r="M26" s="126"/>
      <c r="N26" s="4"/>
      <c r="O26" s="4"/>
      <c r="P26" s="4"/>
      <c r="Q26" s="33">
        <v>20</v>
      </c>
      <c r="R26" s="331">
        <v>10</v>
      </c>
      <c r="S26" s="332"/>
      <c r="T26" s="331">
        <f t="shared" si="19"/>
        <v>8</v>
      </c>
      <c r="U26" s="332"/>
      <c r="V26" s="331">
        <f t="shared" si="20"/>
        <v>6</v>
      </c>
      <c r="W26" s="332"/>
      <c r="X26" s="331">
        <f t="shared" si="21"/>
        <v>4</v>
      </c>
      <c r="Y26" s="334"/>
    </row>
    <row r="27" spans="1:25" x14ac:dyDescent="0.25">
      <c r="A27" s="2"/>
      <c r="B27" s="4"/>
      <c r="C27" s="4"/>
      <c r="D27" s="33">
        <v>25</v>
      </c>
      <c r="E27" s="81">
        <v>24.7</v>
      </c>
      <c r="F27" s="81">
        <v>21.1</v>
      </c>
      <c r="G27" s="81">
        <v>17.7</v>
      </c>
      <c r="H27" s="81">
        <v>15</v>
      </c>
      <c r="I27" s="81">
        <v>12.6</v>
      </c>
      <c r="J27" s="81">
        <v>10.5</v>
      </c>
      <c r="K27" s="81">
        <v>8</v>
      </c>
      <c r="L27" s="126" t="s">
        <v>245</v>
      </c>
      <c r="M27" s="19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</row>
    <row r="28" spans="1:25" x14ac:dyDescent="0.25">
      <c r="A28" s="2"/>
      <c r="B28" s="4"/>
      <c r="C28" s="4"/>
      <c r="D28" s="33">
        <v>50</v>
      </c>
      <c r="E28" s="81">
        <v>24</v>
      </c>
      <c r="F28" s="81">
        <v>20.399999999999999</v>
      </c>
      <c r="G28" s="81">
        <v>17.3</v>
      </c>
      <c r="H28" s="81">
        <v>14.5</v>
      </c>
      <c r="I28" s="81">
        <v>12.2</v>
      </c>
      <c r="J28" s="81">
        <v>10.1</v>
      </c>
      <c r="K28" s="81">
        <v>6.7</v>
      </c>
      <c r="L28" s="126"/>
      <c r="M28" s="12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</row>
    <row r="29" spans="1:25" x14ac:dyDescent="0.25">
      <c r="A29" s="2"/>
      <c r="B29" s="4"/>
      <c r="C29" s="4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</row>
    <row r="30" spans="1:25" ht="15.75" thickBot="1" x14ac:dyDescent="0.3">
      <c r="A30" s="101"/>
      <c r="B30" s="102"/>
      <c r="C30" s="102"/>
      <c r="D30" s="10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8"/>
    </row>
  </sheetData>
  <sheetProtection algorithmName="SHA-512" hashValue="H1J2Qhr1xvLVLFRLp+VG+cB6ha1qjsdfYBR4CWaLp1w5Ve8jYVh+DMCxFAhWPck5ZY6pf0PmsnkRXFjIrDjbxw==" saltValue="yuGt2357yGfLM411W0ubQg==" spinCount="100000" sheet="1" objects="1" scenarios="1" formatCells="0"/>
  <mergeCells count="22">
    <mergeCell ref="C2:Y2"/>
    <mergeCell ref="R26:S26"/>
    <mergeCell ref="R5:Y5"/>
    <mergeCell ref="D5:O5"/>
    <mergeCell ref="E22:M22"/>
    <mergeCell ref="R22:Y22"/>
    <mergeCell ref="A1:Y1"/>
    <mergeCell ref="V23:W23"/>
    <mergeCell ref="V24:W24"/>
    <mergeCell ref="V25:W25"/>
    <mergeCell ref="V26:W26"/>
    <mergeCell ref="X23:Y23"/>
    <mergeCell ref="X24:Y24"/>
    <mergeCell ref="X25:Y25"/>
    <mergeCell ref="X26:Y26"/>
    <mergeCell ref="T23:U23"/>
    <mergeCell ref="T24:U24"/>
    <mergeCell ref="T25:U25"/>
    <mergeCell ref="T26:U26"/>
    <mergeCell ref="R23:S23"/>
    <mergeCell ref="R24:S24"/>
    <mergeCell ref="R25:S25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A2" sqref="A2"/>
    </sheetView>
  </sheetViews>
  <sheetFormatPr defaultRowHeight="15" x14ac:dyDescent="0.25"/>
  <cols>
    <col min="1" max="4" width="9.140625" style="39"/>
    <col min="5" max="5" width="10" style="39" bestFit="1" customWidth="1"/>
    <col min="6" max="6" width="9.140625" style="39"/>
    <col min="7" max="7" width="10" style="39" bestFit="1" customWidth="1"/>
    <col min="8" max="8" width="9.140625" style="39"/>
    <col min="9" max="9" width="10" style="39" bestFit="1" customWidth="1"/>
    <col min="10" max="16384" width="9.140625" style="39"/>
  </cols>
  <sheetData>
    <row r="1" spans="1:25" ht="42.75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6"/>
    </row>
    <row r="2" spans="1:25" ht="24" thickBot="1" x14ac:dyDescent="0.3">
      <c r="A2" s="92" t="s">
        <v>130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8.75" x14ac:dyDescent="0.25">
      <c r="A3" s="299" t="s">
        <v>277</v>
      </c>
      <c r="B3" s="300"/>
      <c r="C3" s="300"/>
      <c r="D3" s="300"/>
      <c r="E3" s="300"/>
      <c r="F3" s="300"/>
      <c r="G3" s="300"/>
      <c r="H3" s="300"/>
      <c r="I3" s="300"/>
    </row>
    <row r="5" spans="1:25" x14ac:dyDescent="0.25">
      <c r="D5" s="336" t="s">
        <v>278</v>
      </c>
      <c r="E5" s="337"/>
    </row>
    <row r="6" spans="1:25" x14ac:dyDescent="0.25">
      <c r="D6" s="336" t="s">
        <v>279</v>
      </c>
      <c r="E6" s="337"/>
      <c r="F6" s="335" t="s">
        <v>280</v>
      </c>
      <c r="G6" s="335"/>
    </row>
    <row r="7" spans="1:25" x14ac:dyDescent="0.25">
      <c r="D7" s="336" t="s">
        <v>281</v>
      </c>
      <c r="E7" s="337"/>
      <c r="F7" s="335" t="s">
        <v>282</v>
      </c>
      <c r="G7" s="335"/>
      <c r="H7" s="335" t="s">
        <v>283</v>
      </c>
      <c r="I7" s="335"/>
    </row>
    <row r="8" spans="1:25" x14ac:dyDescent="0.25">
      <c r="D8" s="336" t="s">
        <v>284</v>
      </c>
      <c r="E8" s="337"/>
      <c r="F8" s="335" t="s">
        <v>285</v>
      </c>
      <c r="G8" s="335"/>
      <c r="H8" s="335" t="s">
        <v>286</v>
      </c>
      <c r="I8" s="335"/>
    </row>
    <row r="9" spans="1:25" s="211" customFormat="1" x14ac:dyDescent="0.25">
      <c r="D9" s="336" t="s">
        <v>287</v>
      </c>
      <c r="E9" s="337"/>
      <c r="F9" s="335" t="s">
        <v>288</v>
      </c>
      <c r="G9" s="335"/>
      <c r="H9" s="335" t="s">
        <v>289</v>
      </c>
      <c r="I9" s="335"/>
    </row>
    <row r="10" spans="1:25" s="211" customFormat="1" ht="15" customHeight="1" x14ac:dyDescent="0.25">
      <c r="A10" s="335" t="s">
        <v>290</v>
      </c>
      <c r="B10" s="335"/>
      <c r="C10" s="335"/>
      <c r="D10" s="212" t="s">
        <v>291</v>
      </c>
      <c r="E10" s="212" t="s">
        <v>292</v>
      </c>
      <c r="F10" s="212" t="s">
        <v>291</v>
      </c>
      <c r="G10" s="212" t="s">
        <v>292</v>
      </c>
      <c r="H10" s="212" t="s">
        <v>291</v>
      </c>
      <c r="I10" s="212" t="s">
        <v>292</v>
      </c>
    </row>
    <row r="11" spans="1:25" x14ac:dyDescent="0.25">
      <c r="A11" s="209"/>
      <c r="B11" s="200">
        <v>20</v>
      </c>
      <c r="C11" s="204" t="s">
        <v>60</v>
      </c>
      <c r="D11" s="24">
        <v>21.3</v>
      </c>
      <c r="E11" s="24">
        <f>D11*3.1416/1000</f>
        <v>6.6916080000000003E-2</v>
      </c>
      <c r="F11" s="24">
        <v>20</v>
      </c>
      <c r="G11" s="24">
        <f>F11*3.1416/1000</f>
        <v>6.2831999999999999E-2</v>
      </c>
      <c r="H11" s="209"/>
      <c r="I11" s="209"/>
    </row>
    <row r="12" spans="1:25" x14ac:dyDescent="0.25">
      <c r="A12" s="209"/>
      <c r="B12" s="200">
        <v>25</v>
      </c>
      <c r="C12" s="204" t="s">
        <v>63</v>
      </c>
      <c r="D12" s="24">
        <v>26.7</v>
      </c>
      <c r="E12" s="24">
        <f t="shared" ref="E12:E22" si="0">D12*3.1416/1000</f>
        <v>8.3880719999999992E-2</v>
      </c>
      <c r="F12" s="24">
        <v>25</v>
      </c>
      <c r="G12" s="24">
        <f t="shared" ref="G12:G18" si="1">F12*3.1416/1000</f>
        <v>7.8539999999999999E-2</v>
      </c>
      <c r="H12" s="209"/>
      <c r="I12" s="209"/>
    </row>
    <row r="13" spans="1:25" x14ac:dyDescent="0.25">
      <c r="A13" s="209"/>
      <c r="B13" s="200">
        <v>32</v>
      </c>
      <c r="C13" s="204" t="s">
        <v>65</v>
      </c>
      <c r="D13" s="24">
        <v>33.4</v>
      </c>
      <c r="E13" s="24">
        <f t="shared" si="0"/>
        <v>0.10492944</v>
      </c>
      <c r="F13" s="24">
        <v>32</v>
      </c>
      <c r="G13" s="24">
        <f t="shared" si="1"/>
        <v>0.1005312</v>
      </c>
      <c r="H13" s="209"/>
      <c r="I13" s="209"/>
    </row>
    <row r="14" spans="1:25" x14ac:dyDescent="0.25">
      <c r="A14" s="209"/>
      <c r="B14" s="200">
        <v>40</v>
      </c>
      <c r="C14" s="204" t="s">
        <v>66</v>
      </c>
      <c r="D14" s="24">
        <v>42.2</v>
      </c>
      <c r="E14" s="24">
        <f t="shared" si="0"/>
        <v>0.13257552</v>
      </c>
      <c r="F14" s="24">
        <v>40</v>
      </c>
      <c r="G14" s="24">
        <f t="shared" si="1"/>
        <v>0.125664</v>
      </c>
      <c r="H14" s="209"/>
      <c r="I14" s="209"/>
    </row>
    <row r="15" spans="1:25" x14ac:dyDescent="0.25">
      <c r="A15" s="209"/>
      <c r="B15" s="200">
        <v>50</v>
      </c>
      <c r="C15" s="204" t="s">
        <v>68</v>
      </c>
      <c r="D15" s="24">
        <v>48.3</v>
      </c>
      <c r="E15" s="24">
        <f t="shared" si="0"/>
        <v>0.15173927999999998</v>
      </c>
      <c r="F15" s="24">
        <v>50</v>
      </c>
      <c r="G15" s="24">
        <f t="shared" si="1"/>
        <v>0.15708</v>
      </c>
      <c r="H15" s="209"/>
      <c r="I15" s="209"/>
    </row>
    <row r="16" spans="1:25" x14ac:dyDescent="0.25">
      <c r="A16" s="204" t="s">
        <v>219</v>
      </c>
      <c r="B16" s="200">
        <v>63</v>
      </c>
      <c r="C16" s="204" t="s">
        <v>69</v>
      </c>
      <c r="D16" s="24">
        <v>60.3</v>
      </c>
      <c r="E16" s="24">
        <f t="shared" si="0"/>
        <v>0.18943847999999999</v>
      </c>
      <c r="F16" s="24">
        <v>63</v>
      </c>
      <c r="G16" s="24">
        <f t="shared" si="1"/>
        <v>0.19792079999999998</v>
      </c>
      <c r="H16" s="213">
        <v>60</v>
      </c>
      <c r="I16" s="24">
        <f>H16*3.1416/1000</f>
        <v>0.188496</v>
      </c>
    </row>
    <row r="17" spans="1:9" x14ac:dyDescent="0.25">
      <c r="A17" s="204" t="s">
        <v>220</v>
      </c>
      <c r="B17" s="200">
        <v>75</v>
      </c>
      <c r="C17" s="204" t="s">
        <v>71</v>
      </c>
      <c r="D17" s="24">
        <v>73</v>
      </c>
      <c r="E17" s="24">
        <f t="shared" si="0"/>
        <v>0.22933679999999998</v>
      </c>
      <c r="F17" s="24">
        <v>75</v>
      </c>
      <c r="G17" s="24">
        <f t="shared" si="1"/>
        <v>0.23562</v>
      </c>
      <c r="H17" s="213">
        <v>75</v>
      </c>
      <c r="I17" s="24">
        <f t="shared" ref="I17:I19" si="2">H17*3.1416/1000</f>
        <v>0.23562</v>
      </c>
    </row>
    <row r="18" spans="1:9" x14ac:dyDescent="0.25">
      <c r="A18" s="204" t="s">
        <v>221</v>
      </c>
      <c r="B18" s="200">
        <v>90</v>
      </c>
      <c r="C18" s="204" t="s">
        <v>73</v>
      </c>
      <c r="D18" s="24">
        <v>88.9</v>
      </c>
      <c r="E18" s="24">
        <f t="shared" si="0"/>
        <v>0.27928824000000002</v>
      </c>
      <c r="F18" s="24">
        <v>90</v>
      </c>
      <c r="G18" s="24">
        <f t="shared" si="1"/>
        <v>0.282744</v>
      </c>
      <c r="H18" s="213">
        <v>85</v>
      </c>
      <c r="I18" s="24">
        <f t="shared" si="2"/>
        <v>0.267036</v>
      </c>
    </row>
    <row r="19" spans="1:9" x14ac:dyDescent="0.25">
      <c r="A19" s="204" t="s">
        <v>222</v>
      </c>
      <c r="B19" s="209"/>
      <c r="C19" s="204" t="s">
        <v>75</v>
      </c>
      <c r="D19" s="24">
        <v>114.3</v>
      </c>
      <c r="E19" s="24">
        <f t="shared" si="0"/>
        <v>0.35908488</v>
      </c>
      <c r="F19" s="209"/>
      <c r="G19" s="209"/>
      <c r="H19" s="213">
        <v>110</v>
      </c>
      <c r="I19" s="24">
        <f t="shared" si="2"/>
        <v>0.34557599999999999</v>
      </c>
    </row>
    <row r="20" spans="1:9" x14ac:dyDescent="0.25">
      <c r="A20" s="204" t="s">
        <v>258</v>
      </c>
      <c r="B20" s="209"/>
      <c r="C20" s="204" t="s">
        <v>76</v>
      </c>
      <c r="D20" s="24">
        <v>141.30000000000001</v>
      </c>
      <c r="E20" s="24">
        <f t="shared" si="0"/>
        <v>0.44390808000000004</v>
      </c>
      <c r="F20" s="209"/>
      <c r="G20" s="209"/>
      <c r="H20" s="209"/>
      <c r="I20" s="209"/>
    </row>
    <row r="21" spans="1:9" x14ac:dyDescent="0.25">
      <c r="A21" s="204" t="s">
        <v>223</v>
      </c>
      <c r="B21" s="209"/>
      <c r="C21" s="204" t="s">
        <v>78</v>
      </c>
      <c r="D21" s="24">
        <v>168.3</v>
      </c>
      <c r="E21" s="24">
        <f t="shared" si="0"/>
        <v>0.52873128000000014</v>
      </c>
      <c r="F21" s="209"/>
      <c r="G21" s="209"/>
      <c r="H21" s="213">
        <v>160</v>
      </c>
      <c r="I21" s="24">
        <f>H21*3.1416/1000</f>
        <v>0.50265599999999999</v>
      </c>
    </row>
    <row r="22" spans="1:9" x14ac:dyDescent="0.25">
      <c r="A22" s="204" t="s">
        <v>218</v>
      </c>
      <c r="B22" s="209"/>
      <c r="C22" s="204" t="s">
        <v>80</v>
      </c>
      <c r="D22" s="24">
        <v>219.1</v>
      </c>
      <c r="E22" s="24">
        <f t="shared" si="0"/>
        <v>0.68832455999999997</v>
      </c>
      <c r="F22" s="209"/>
      <c r="G22" s="209"/>
      <c r="H22" s="213">
        <v>200</v>
      </c>
      <c r="I22" s="24">
        <f>H22*3.1416/1000</f>
        <v>0.62831999999999999</v>
      </c>
    </row>
  </sheetData>
  <sheetProtection password="DD3A" sheet="1" objects="1" scenarios="1"/>
  <mergeCells count="15">
    <mergeCell ref="A10:C10"/>
    <mergeCell ref="A1:Y1"/>
    <mergeCell ref="D8:E8"/>
    <mergeCell ref="F8:G8"/>
    <mergeCell ref="H8:I8"/>
    <mergeCell ref="D9:E9"/>
    <mergeCell ref="F9:G9"/>
    <mergeCell ref="H9:I9"/>
    <mergeCell ref="A3:I3"/>
    <mergeCell ref="D5:E5"/>
    <mergeCell ref="D6:E6"/>
    <mergeCell ref="F6:G6"/>
    <mergeCell ref="D7:E7"/>
    <mergeCell ref="F7:G7"/>
    <mergeCell ref="H7:I7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75" zoomScaleNormal="75" workbookViewId="0">
      <selection activeCell="G4" sqref="G4:I4"/>
    </sheetView>
  </sheetViews>
  <sheetFormatPr defaultRowHeight="15" x14ac:dyDescent="0.25"/>
  <cols>
    <col min="1" max="4" width="9.140625" style="39"/>
    <col min="5" max="5" width="10" style="39" bestFit="1" customWidth="1"/>
    <col min="6" max="7" width="9.140625" style="39"/>
    <col min="8" max="8" width="10" style="39" bestFit="1" customWidth="1"/>
    <col min="9" max="10" width="9.140625" style="39"/>
    <col min="11" max="11" width="10" style="39" bestFit="1" customWidth="1"/>
    <col min="12" max="13" width="9.140625" style="39"/>
    <col min="14" max="14" width="10" style="39" bestFit="1" customWidth="1"/>
    <col min="15" max="16" width="9.140625" style="39"/>
    <col min="17" max="17" width="10" style="39" bestFit="1" customWidth="1"/>
    <col min="18" max="19" width="9.140625" style="39"/>
    <col min="20" max="20" width="10" style="39" bestFit="1" customWidth="1"/>
    <col min="21" max="22" width="9.140625" style="39"/>
    <col min="23" max="23" width="10" style="39" bestFit="1" customWidth="1"/>
    <col min="24" max="25" width="9.140625" style="39"/>
    <col min="26" max="26" width="10" style="39" bestFit="1" customWidth="1"/>
    <col min="27" max="28" width="9.140625" style="39"/>
    <col min="29" max="29" width="10" style="39" bestFit="1" customWidth="1"/>
    <col min="30" max="31" width="9.140625" style="39"/>
    <col min="32" max="32" width="10" style="39" bestFit="1" customWidth="1"/>
    <col min="33" max="34" width="9.140625" style="39"/>
    <col min="35" max="35" width="10" style="39" bestFit="1" customWidth="1"/>
    <col min="36" max="37" width="9.140625" style="39"/>
    <col min="38" max="38" width="10" style="39" bestFit="1" customWidth="1"/>
    <col min="39" max="16384" width="9.140625" style="39"/>
  </cols>
  <sheetData>
    <row r="1" spans="1:25" ht="46.5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6"/>
    </row>
    <row r="2" spans="1:25" ht="24" thickBot="1" x14ac:dyDescent="0.3">
      <c r="A2" s="92" t="s">
        <v>130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4" spans="1:25" s="211" customFormat="1" x14ac:dyDescent="0.25">
      <c r="D4" s="338" t="s">
        <v>278</v>
      </c>
      <c r="E4" s="339"/>
      <c r="F4" s="340"/>
      <c r="G4" s="338" t="s">
        <v>279</v>
      </c>
      <c r="H4" s="339"/>
      <c r="I4" s="340"/>
      <c r="J4" s="338" t="s">
        <v>281</v>
      </c>
      <c r="K4" s="339"/>
      <c r="L4" s="340"/>
      <c r="M4" s="341" t="s">
        <v>284</v>
      </c>
      <c r="N4" s="341"/>
      <c r="O4" s="341"/>
      <c r="P4" s="341" t="s">
        <v>287</v>
      </c>
      <c r="Q4" s="341"/>
      <c r="R4" s="341"/>
      <c r="S4" s="341" t="s">
        <v>288</v>
      </c>
      <c r="T4" s="341"/>
      <c r="U4" s="341"/>
    </row>
    <row r="5" spans="1:25" s="211" customFormat="1" x14ac:dyDescent="0.25">
      <c r="D5" s="215" t="s">
        <v>291</v>
      </c>
      <c r="E5" s="216" t="s">
        <v>294</v>
      </c>
      <c r="F5" s="216" t="s">
        <v>112</v>
      </c>
      <c r="G5" s="215" t="s">
        <v>291</v>
      </c>
      <c r="H5" s="216" t="s">
        <v>294</v>
      </c>
      <c r="I5" s="216" t="s">
        <v>112</v>
      </c>
      <c r="J5" s="215" t="s">
        <v>291</v>
      </c>
      <c r="K5" s="216" t="s">
        <v>294</v>
      </c>
      <c r="L5" s="216" t="s">
        <v>112</v>
      </c>
      <c r="M5" s="215" t="s">
        <v>291</v>
      </c>
      <c r="N5" s="216" t="s">
        <v>294</v>
      </c>
      <c r="O5" s="216" t="s">
        <v>112</v>
      </c>
      <c r="P5" s="215" t="s">
        <v>291</v>
      </c>
      <c r="Q5" s="216" t="s">
        <v>294</v>
      </c>
      <c r="R5" s="216" t="s">
        <v>112</v>
      </c>
      <c r="S5" s="215" t="s">
        <v>291</v>
      </c>
      <c r="T5" s="216" t="s">
        <v>294</v>
      </c>
      <c r="U5" s="216" t="s">
        <v>112</v>
      </c>
    </row>
    <row r="6" spans="1:25" x14ac:dyDescent="0.25">
      <c r="A6" s="219"/>
      <c r="B6" s="200">
        <v>20</v>
      </c>
      <c r="C6" s="204" t="s">
        <v>60</v>
      </c>
      <c r="D6" s="24">
        <v>21.3</v>
      </c>
      <c r="E6" s="24">
        <v>2.77</v>
      </c>
      <c r="F6" s="24">
        <f t="shared" ref="F6:F17" si="0">M6-(E6*2)</f>
        <v>15.760000000000002</v>
      </c>
      <c r="G6" s="24">
        <v>21.3</v>
      </c>
      <c r="H6" s="24">
        <v>2.25</v>
      </c>
      <c r="I6" s="24">
        <f>G6-2*H6</f>
        <v>16.8</v>
      </c>
      <c r="J6" s="24">
        <v>21.3</v>
      </c>
      <c r="K6" s="24">
        <v>2.65</v>
      </c>
      <c r="L6" s="24">
        <f>G6-2*K6</f>
        <v>16</v>
      </c>
      <c r="M6" s="24">
        <v>21.3</v>
      </c>
      <c r="N6" s="24">
        <v>3.73</v>
      </c>
      <c r="O6" s="24">
        <f t="shared" ref="O6:O17" si="1">M6-2*N6</f>
        <v>13.84</v>
      </c>
      <c r="P6" s="24">
        <v>21.3</v>
      </c>
      <c r="Q6" s="24">
        <v>3.73</v>
      </c>
      <c r="R6" s="24">
        <f t="shared" ref="R6:R17" si="2">P6-2*Q6</f>
        <v>13.84</v>
      </c>
      <c r="S6" s="24">
        <v>20</v>
      </c>
      <c r="T6" s="24">
        <v>2.8</v>
      </c>
      <c r="U6" s="24">
        <f>S6-(T6*2)</f>
        <v>14.4</v>
      </c>
    </row>
    <row r="7" spans="1:25" x14ac:dyDescent="0.25">
      <c r="A7" s="219"/>
      <c r="B7" s="200">
        <v>25</v>
      </c>
      <c r="C7" s="204" t="s">
        <v>63</v>
      </c>
      <c r="D7" s="24">
        <v>26.7</v>
      </c>
      <c r="E7" s="24">
        <v>2.87</v>
      </c>
      <c r="F7" s="24">
        <f t="shared" si="0"/>
        <v>20.96</v>
      </c>
      <c r="G7" s="24">
        <v>26.9</v>
      </c>
      <c r="H7" s="24">
        <v>2.25</v>
      </c>
      <c r="I7" s="24">
        <f t="shared" ref="I7:I14" si="3">G7-2*H7</f>
        <v>22.4</v>
      </c>
      <c r="J7" s="24">
        <v>26.9</v>
      </c>
      <c r="K7" s="24">
        <v>2.65</v>
      </c>
      <c r="L7" s="24">
        <f t="shared" ref="L7:L16" si="4">G7-2*K7</f>
        <v>21.599999999999998</v>
      </c>
      <c r="M7" s="24">
        <v>26.7</v>
      </c>
      <c r="N7" s="24">
        <v>3.91</v>
      </c>
      <c r="O7" s="24">
        <f t="shared" si="1"/>
        <v>18.88</v>
      </c>
      <c r="P7" s="24">
        <v>26.7</v>
      </c>
      <c r="Q7" s="24">
        <v>3.91</v>
      </c>
      <c r="R7" s="24">
        <f t="shared" si="2"/>
        <v>18.88</v>
      </c>
      <c r="S7" s="24">
        <v>25</v>
      </c>
      <c r="T7" s="24">
        <v>3.5</v>
      </c>
      <c r="U7" s="24">
        <f t="shared" ref="U7:U13" si="5">S7-(T7*2)</f>
        <v>18</v>
      </c>
    </row>
    <row r="8" spans="1:25" x14ac:dyDescent="0.25">
      <c r="A8" s="219"/>
      <c r="B8" s="200">
        <v>32</v>
      </c>
      <c r="C8" s="204" t="s">
        <v>65</v>
      </c>
      <c r="D8" s="24">
        <v>33.4</v>
      </c>
      <c r="E8" s="24">
        <v>3.38</v>
      </c>
      <c r="F8" s="24">
        <f t="shared" si="0"/>
        <v>26.64</v>
      </c>
      <c r="G8" s="24">
        <v>33.700000000000003</v>
      </c>
      <c r="H8" s="24">
        <v>2.65</v>
      </c>
      <c r="I8" s="24">
        <f t="shared" si="3"/>
        <v>28.400000000000002</v>
      </c>
      <c r="J8" s="24">
        <v>33.700000000000003</v>
      </c>
      <c r="K8" s="24">
        <v>3.35</v>
      </c>
      <c r="L8" s="24">
        <f t="shared" si="4"/>
        <v>27.000000000000004</v>
      </c>
      <c r="M8" s="24">
        <v>33.4</v>
      </c>
      <c r="N8" s="24">
        <v>4.55</v>
      </c>
      <c r="O8" s="24">
        <f t="shared" si="1"/>
        <v>24.299999999999997</v>
      </c>
      <c r="P8" s="24">
        <v>33.4</v>
      </c>
      <c r="Q8" s="24">
        <v>4.55</v>
      </c>
      <c r="R8" s="24">
        <f t="shared" si="2"/>
        <v>24.299999999999997</v>
      </c>
      <c r="S8" s="24">
        <v>32</v>
      </c>
      <c r="T8" s="24">
        <v>4.5</v>
      </c>
      <c r="U8" s="24">
        <f t="shared" si="5"/>
        <v>23</v>
      </c>
    </row>
    <row r="9" spans="1:25" x14ac:dyDescent="0.25">
      <c r="A9" s="219"/>
      <c r="B9" s="200">
        <v>40</v>
      </c>
      <c r="C9" s="204" t="s">
        <v>66</v>
      </c>
      <c r="D9" s="24">
        <v>42.2</v>
      </c>
      <c r="E9" s="24">
        <v>3.56</v>
      </c>
      <c r="F9" s="24">
        <f t="shared" si="0"/>
        <v>35.080000000000005</v>
      </c>
      <c r="G9" s="24">
        <v>42.4</v>
      </c>
      <c r="H9" s="24">
        <v>2.65</v>
      </c>
      <c r="I9" s="24">
        <f t="shared" si="3"/>
        <v>37.1</v>
      </c>
      <c r="J9" s="24">
        <v>42.4</v>
      </c>
      <c r="K9" s="24">
        <v>3.35</v>
      </c>
      <c r="L9" s="24">
        <f t="shared" si="4"/>
        <v>35.699999999999996</v>
      </c>
      <c r="M9" s="24">
        <v>42.2</v>
      </c>
      <c r="N9" s="24">
        <v>4.8499999999999996</v>
      </c>
      <c r="O9" s="24">
        <f t="shared" si="1"/>
        <v>32.5</v>
      </c>
      <c r="P9" s="24">
        <v>42.2</v>
      </c>
      <c r="Q9" s="24">
        <v>4.8499999999999996</v>
      </c>
      <c r="R9" s="24">
        <f t="shared" si="2"/>
        <v>32.5</v>
      </c>
      <c r="S9" s="24">
        <v>40</v>
      </c>
      <c r="T9" s="24">
        <v>5.6</v>
      </c>
      <c r="U9" s="24">
        <f t="shared" si="5"/>
        <v>28.8</v>
      </c>
    </row>
    <row r="10" spans="1:25" x14ac:dyDescent="0.25">
      <c r="A10" s="219"/>
      <c r="B10" s="200">
        <v>50</v>
      </c>
      <c r="C10" s="204" t="s">
        <v>68</v>
      </c>
      <c r="D10" s="24">
        <v>48.3</v>
      </c>
      <c r="E10" s="24">
        <v>3.68</v>
      </c>
      <c r="F10" s="24">
        <f t="shared" si="0"/>
        <v>40.94</v>
      </c>
      <c r="G10" s="24">
        <v>48.3</v>
      </c>
      <c r="H10" s="24">
        <v>3</v>
      </c>
      <c r="I10" s="24">
        <f t="shared" si="3"/>
        <v>42.3</v>
      </c>
      <c r="J10" s="24">
        <v>48.3</v>
      </c>
      <c r="K10" s="24">
        <v>3.35</v>
      </c>
      <c r="L10" s="24">
        <f t="shared" si="4"/>
        <v>41.599999999999994</v>
      </c>
      <c r="M10" s="24">
        <v>48.3</v>
      </c>
      <c r="N10" s="24">
        <v>5.08</v>
      </c>
      <c r="O10" s="24">
        <f t="shared" si="1"/>
        <v>38.14</v>
      </c>
      <c r="P10" s="24">
        <v>48.3</v>
      </c>
      <c r="Q10" s="24">
        <v>5.08</v>
      </c>
      <c r="R10" s="24">
        <f t="shared" si="2"/>
        <v>38.14</v>
      </c>
      <c r="S10" s="24">
        <v>50</v>
      </c>
      <c r="T10" s="24">
        <v>6.9</v>
      </c>
      <c r="U10" s="24">
        <f t="shared" si="5"/>
        <v>36.200000000000003</v>
      </c>
    </row>
    <row r="11" spans="1:25" x14ac:dyDescent="0.25">
      <c r="A11" s="204" t="s">
        <v>219</v>
      </c>
      <c r="B11" s="200">
        <v>63</v>
      </c>
      <c r="C11" s="204" t="s">
        <v>69</v>
      </c>
      <c r="D11" s="24">
        <v>60.3</v>
      </c>
      <c r="E11" s="24">
        <v>3.91</v>
      </c>
      <c r="F11" s="24">
        <f t="shared" si="0"/>
        <v>52.48</v>
      </c>
      <c r="G11" s="24">
        <v>60.3</v>
      </c>
      <c r="H11" s="24">
        <v>3</v>
      </c>
      <c r="I11" s="24">
        <f t="shared" si="3"/>
        <v>54.3</v>
      </c>
      <c r="J11" s="24">
        <v>60.3</v>
      </c>
      <c r="K11" s="24">
        <v>3.75</v>
      </c>
      <c r="L11" s="24">
        <f t="shared" si="4"/>
        <v>52.8</v>
      </c>
      <c r="M11" s="24">
        <v>60.3</v>
      </c>
      <c r="N11" s="24">
        <v>5.54</v>
      </c>
      <c r="O11" s="24">
        <f t="shared" si="1"/>
        <v>49.22</v>
      </c>
      <c r="P11" s="24">
        <v>60.3</v>
      </c>
      <c r="Q11" s="24">
        <v>5.54</v>
      </c>
      <c r="R11" s="24">
        <f t="shared" si="2"/>
        <v>49.22</v>
      </c>
      <c r="S11" s="24">
        <v>63</v>
      </c>
      <c r="T11" s="24">
        <v>8.6999999999999993</v>
      </c>
      <c r="U11" s="24">
        <f t="shared" si="5"/>
        <v>45.6</v>
      </c>
    </row>
    <row r="12" spans="1:25" x14ac:dyDescent="0.25">
      <c r="A12" s="204" t="s">
        <v>220</v>
      </c>
      <c r="B12" s="200">
        <v>75</v>
      </c>
      <c r="C12" s="204" t="s">
        <v>71</v>
      </c>
      <c r="D12" s="24">
        <v>73</v>
      </c>
      <c r="E12" s="24">
        <v>5.16</v>
      </c>
      <c r="F12" s="24">
        <f t="shared" si="0"/>
        <v>62.68</v>
      </c>
      <c r="G12" s="24">
        <v>76.099999999999994</v>
      </c>
      <c r="H12" s="24">
        <v>3.35</v>
      </c>
      <c r="I12" s="24">
        <f t="shared" si="3"/>
        <v>69.399999999999991</v>
      </c>
      <c r="J12" s="24">
        <v>76.099999999999994</v>
      </c>
      <c r="K12" s="24">
        <v>3.75</v>
      </c>
      <c r="L12" s="24">
        <f t="shared" si="4"/>
        <v>68.599999999999994</v>
      </c>
      <c r="M12" s="24">
        <v>73</v>
      </c>
      <c r="N12" s="24">
        <v>7.01</v>
      </c>
      <c r="O12" s="24">
        <f t="shared" si="1"/>
        <v>58.980000000000004</v>
      </c>
      <c r="P12" s="24">
        <v>73</v>
      </c>
      <c r="Q12" s="24">
        <v>7.01</v>
      </c>
      <c r="R12" s="24">
        <f t="shared" si="2"/>
        <v>58.980000000000004</v>
      </c>
      <c r="S12" s="24">
        <v>75</v>
      </c>
      <c r="T12" s="24">
        <v>10.4</v>
      </c>
      <c r="U12" s="24">
        <f t="shared" si="5"/>
        <v>54.2</v>
      </c>
    </row>
    <row r="13" spans="1:25" x14ac:dyDescent="0.25">
      <c r="A13" s="204" t="s">
        <v>221</v>
      </c>
      <c r="B13" s="200">
        <v>90</v>
      </c>
      <c r="C13" s="204" t="s">
        <v>73</v>
      </c>
      <c r="D13" s="24">
        <v>88.9</v>
      </c>
      <c r="E13" s="24">
        <v>5.49</v>
      </c>
      <c r="F13" s="24">
        <f t="shared" si="0"/>
        <v>77.92</v>
      </c>
      <c r="G13" s="24">
        <v>88.9</v>
      </c>
      <c r="H13" s="24">
        <v>3.35</v>
      </c>
      <c r="I13" s="24">
        <f t="shared" si="3"/>
        <v>82.2</v>
      </c>
      <c r="J13" s="24">
        <v>88.9</v>
      </c>
      <c r="K13" s="24">
        <v>4</v>
      </c>
      <c r="L13" s="24">
        <f t="shared" si="4"/>
        <v>80.900000000000006</v>
      </c>
      <c r="M13" s="24">
        <v>88.9</v>
      </c>
      <c r="N13" s="24">
        <v>7.62</v>
      </c>
      <c r="O13" s="24">
        <f t="shared" si="1"/>
        <v>73.660000000000011</v>
      </c>
      <c r="P13" s="24">
        <v>88.9</v>
      </c>
      <c r="Q13" s="24">
        <v>7.62</v>
      </c>
      <c r="R13" s="24">
        <f t="shared" si="2"/>
        <v>73.660000000000011</v>
      </c>
      <c r="S13" s="24">
        <v>90</v>
      </c>
      <c r="T13" s="24">
        <v>12.5</v>
      </c>
      <c r="U13" s="24">
        <f t="shared" si="5"/>
        <v>65</v>
      </c>
    </row>
    <row r="14" spans="1:25" x14ac:dyDescent="0.25">
      <c r="A14" s="204" t="s">
        <v>222</v>
      </c>
      <c r="B14" s="219"/>
      <c r="C14" s="204" t="s">
        <v>75</v>
      </c>
      <c r="D14" s="24">
        <v>114.3</v>
      </c>
      <c r="E14" s="24">
        <v>6.02</v>
      </c>
      <c r="F14" s="24">
        <f t="shared" si="0"/>
        <v>102.25999999999999</v>
      </c>
      <c r="G14" s="24">
        <v>114.3</v>
      </c>
      <c r="H14" s="24">
        <v>3.75</v>
      </c>
      <c r="I14" s="24">
        <f t="shared" si="3"/>
        <v>106.8</v>
      </c>
      <c r="J14" s="24">
        <v>114.3</v>
      </c>
      <c r="K14" s="24">
        <v>4.5</v>
      </c>
      <c r="L14" s="24">
        <f t="shared" si="4"/>
        <v>105.3</v>
      </c>
      <c r="M14" s="24">
        <v>114.3</v>
      </c>
      <c r="N14" s="24">
        <v>8.56</v>
      </c>
      <c r="O14" s="24">
        <f t="shared" si="1"/>
        <v>97.179999999999993</v>
      </c>
      <c r="P14" s="24">
        <v>114.3</v>
      </c>
      <c r="Q14" s="24">
        <v>8.56</v>
      </c>
      <c r="R14" s="24">
        <f t="shared" si="2"/>
        <v>97.179999999999993</v>
      </c>
      <c r="S14" s="219"/>
      <c r="T14" s="219"/>
      <c r="U14" s="219"/>
    </row>
    <row r="15" spans="1:25" x14ac:dyDescent="0.25">
      <c r="A15" s="204" t="s">
        <v>258</v>
      </c>
      <c r="B15" s="219"/>
      <c r="C15" s="204" t="s">
        <v>76</v>
      </c>
      <c r="D15" s="24">
        <v>141.30000000000001</v>
      </c>
      <c r="E15" s="24">
        <v>6.55</v>
      </c>
      <c r="F15" s="24">
        <f t="shared" si="0"/>
        <v>128.20000000000002</v>
      </c>
      <c r="G15" s="24">
        <v>139.69999999999999</v>
      </c>
      <c r="H15" s="219"/>
      <c r="I15" s="219"/>
      <c r="J15" s="24">
        <v>139.69999999999999</v>
      </c>
      <c r="K15" s="24">
        <v>4.75</v>
      </c>
      <c r="L15" s="24">
        <f t="shared" si="4"/>
        <v>130.19999999999999</v>
      </c>
      <c r="M15" s="24">
        <v>141.30000000000001</v>
      </c>
      <c r="N15" s="24">
        <v>9.5299999999999994</v>
      </c>
      <c r="O15" s="24">
        <f t="shared" si="1"/>
        <v>122.24000000000001</v>
      </c>
      <c r="P15" s="24">
        <v>141.30000000000001</v>
      </c>
      <c r="Q15" s="24">
        <v>9.5299999999999994</v>
      </c>
      <c r="R15" s="24">
        <f t="shared" si="2"/>
        <v>122.24000000000001</v>
      </c>
      <c r="S15" s="219"/>
      <c r="T15" s="219"/>
      <c r="U15" s="219"/>
    </row>
    <row r="16" spans="1:25" x14ac:dyDescent="0.25">
      <c r="A16" s="204" t="s">
        <v>223</v>
      </c>
      <c r="B16" s="219"/>
      <c r="C16" s="204" t="s">
        <v>78</v>
      </c>
      <c r="D16" s="24">
        <v>168.3</v>
      </c>
      <c r="E16" s="24">
        <v>7.11</v>
      </c>
      <c r="F16" s="24">
        <f t="shared" si="0"/>
        <v>154.08000000000001</v>
      </c>
      <c r="G16" s="24">
        <v>165.1</v>
      </c>
      <c r="H16" s="219"/>
      <c r="I16" s="219"/>
      <c r="J16" s="24">
        <v>165.1</v>
      </c>
      <c r="K16" s="24">
        <v>5</v>
      </c>
      <c r="L16" s="24">
        <f t="shared" si="4"/>
        <v>155.1</v>
      </c>
      <c r="M16" s="24">
        <v>168.3</v>
      </c>
      <c r="N16" s="24">
        <v>10.97</v>
      </c>
      <c r="O16" s="24">
        <f t="shared" si="1"/>
        <v>146.36000000000001</v>
      </c>
      <c r="P16" s="24">
        <v>168.3</v>
      </c>
      <c r="Q16" s="24">
        <v>10.97</v>
      </c>
      <c r="R16" s="24">
        <f t="shared" si="2"/>
        <v>146.36000000000001</v>
      </c>
      <c r="S16" s="219"/>
      <c r="T16" s="219"/>
      <c r="U16" s="219"/>
    </row>
    <row r="17" spans="1:21" x14ac:dyDescent="0.25">
      <c r="A17" s="204" t="s">
        <v>218</v>
      </c>
      <c r="B17" s="219"/>
      <c r="C17" s="204" t="s">
        <v>80</v>
      </c>
      <c r="D17" s="24">
        <v>219.1</v>
      </c>
      <c r="E17" s="24">
        <v>8.18</v>
      </c>
      <c r="F17" s="24">
        <f t="shared" si="0"/>
        <v>202.74</v>
      </c>
      <c r="G17" s="219"/>
      <c r="H17" s="219"/>
      <c r="I17" s="219"/>
      <c r="J17" s="219"/>
      <c r="K17" s="219"/>
      <c r="L17" s="219"/>
      <c r="M17" s="24">
        <v>219.1</v>
      </c>
      <c r="N17" s="24">
        <v>12.7</v>
      </c>
      <c r="O17" s="24">
        <f t="shared" si="1"/>
        <v>193.7</v>
      </c>
      <c r="P17" s="24">
        <v>219.1</v>
      </c>
      <c r="Q17" s="24">
        <v>12.7</v>
      </c>
      <c r="R17" s="24">
        <f t="shared" si="2"/>
        <v>193.7</v>
      </c>
      <c r="S17" s="219"/>
      <c r="T17" s="219"/>
      <c r="U17" s="219"/>
    </row>
    <row r="20" spans="1:21" x14ac:dyDescent="0.25">
      <c r="A20" s="211"/>
      <c r="B20" s="211"/>
      <c r="C20" s="211"/>
      <c r="D20" s="338" t="s">
        <v>285</v>
      </c>
      <c r="E20" s="339"/>
      <c r="F20" s="340"/>
      <c r="G20" s="338" t="s">
        <v>282</v>
      </c>
      <c r="H20" s="339"/>
      <c r="I20" s="340"/>
      <c r="J20" s="341" t="s">
        <v>280</v>
      </c>
      <c r="K20" s="341"/>
      <c r="L20" s="341"/>
      <c r="M20" s="342" t="s">
        <v>289</v>
      </c>
      <c r="N20" s="342"/>
      <c r="O20" s="342"/>
      <c r="P20" s="342" t="s">
        <v>286</v>
      </c>
      <c r="Q20" s="342"/>
      <c r="R20" s="342"/>
      <c r="S20" s="342" t="s">
        <v>283</v>
      </c>
      <c r="T20" s="342"/>
      <c r="U20" s="342"/>
    </row>
    <row r="21" spans="1:21" x14ac:dyDescent="0.25">
      <c r="A21" s="211"/>
      <c r="B21" s="211"/>
      <c r="C21" s="211"/>
      <c r="D21" s="215" t="s">
        <v>291</v>
      </c>
      <c r="E21" s="216" t="s">
        <v>294</v>
      </c>
      <c r="F21" s="216" t="s">
        <v>112</v>
      </c>
      <c r="G21" s="215" t="s">
        <v>291</v>
      </c>
      <c r="H21" s="216" t="s">
        <v>294</v>
      </c>
      <c r="I21" s="216" t="s">
        <v>112</v>
      </c>
      <c r="J21" s="215" t="s">
        <v>291</v>
      </c>
      <c r="K21" s="216" t="s">
        <v>294</v>
      </c>
      <c r="L21" s="216" t="s">
        <v>112</v>
      </c>
      <c r="M21" s="217" t="s">
        <v>291</v>
      </c>
      <c r="N21" s="218" t="s">
        <v>295</v>
      </c>
      <c r="O21" s="215" t="s">
        <v>112</v>
      </c>
      <c r="P21" s="217" t="s">
        <v>291</v>
      </c>
      <c r="Q21" s="218" t="s">
        <v>295</v>
      </c>
      <c r="R21" s="215" t="s">
        <v>112</v>
      </c>
      <c r="S21" s="217" t="s">
        <v>291</v>
      </c>
      <c r="T21" s="218" t="s">
        <v>295</v>
      </c>
      <c r="U21" s="215" t="s">
        <v>112</v>
      </c>
    </row>
    <row r="22" spans="1:21" x14ac:dyDescent="0.25">
      <c r="A22" s="219"/>
      <c r="B22" s="200">
        <v>20</v>
      </c>
      <c r="C22" s="204" t="s">
        <v>60</v>
      </c>
      <c r="D22" s="24">
        <v>20</v>
      </c>
      <c r="E22" s="24">
        <v>1.9</v>
      </c>
      <c r="F22" s="24">
        <f>D22-(E22*2)</f>
        <v>16.2</v>
      </c>
      <c r="G22" s="24">
        <v>20</v>
      </c>
      <c r="H22" s="24">
        <v>2.8</v>
      </c>
      <c r="I22" s="24">
        <f>D22-(H22*2)</f>
        <v>14.4</v>
      </c>
      <c r="J22" s="24">
        <v>20</v>
      </c>
      <c r="K22" s="24">
        <v>3.4</v>
      </c>
      <c r="L22" s="24">
        <f t="shared" ref="L22:L29" si="6">D22-(K22*2)</f>
        <v>13.2</v>
      </c>
      <c r="M22" s="219"/>
      <c r="N22" s="219"/>
      <c r="O22" s="219"/>
      <c r="P22" s="219"/>
      <c r="Q22" s="219"/>
      <c r="R22" s="219"/>
      <c r="S22" s="219"/>
      <c r="T22" s="219"/>
      <c r="U22" s="219"/>
    </row>
    <row r="23" spans="1:21" x14ac:dyDescent="0.25">
      <c r="A23" s="219"/>
      <c r="B23" s="200">
        <v>25</v>
      </c>
      <c r="C23" s="204" t="s">
        <v>63</v>
      </c>
      <c r="D23" s="24">
        <v>25</v>
      </c>
      <c r="E23" s="24">
        <v>2.2999999999999998</v>
      </c>
      <c r="F23" s="24">
        <f t="shared" ref="F23:F29" si="7">D23-(E23*2)</f>
        <v>20.399999999999999</v>
      </c>
      <c r="G23" s="24">
        <v>25</v>
      </c>
      <c r="H23" s="24">
        <v>3.5</v>
      </c>
      <c r="I23" s="24">
        <f t="shared" ref="I23:I29" si="8">D23-(H23*2)</f>
        <v>18</v>
      </c>
      <c r="J23" s="24">
        <v>25</v>
      </c>
      <c r="K23" s="24">
        <v>4.2</v>
      </c>
      <c r="L23" s="24">
        <f t="shared" si="6"/>
        <v>16.600000000000001</v>
      </c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1" x14ac:dyDescent="0.25">
      <c r="A24" s="219"/>
      <c r="B24" s="200">
        <v>32</v>
      </c>
      <c r="C24" s="204" t="s">
        <v>65</v>
      </c>
      <c r="D24" s="24">
        <v>32</v>
      </c>
      <c r="E24" s="24">
        <v>3</v>
      </c>
      <c r="F24" s="24">
        <f t="shared" si="7"/>
        <v>26</v>
      </c>
      <c r="G24" s="24">
        <v>32</v>
      </c>
      <c r="H24" s="24">
        <v>4.5</v>
      </c>
      <c r="I24" s="24">
        <f t="shared" si="8"/>
        <v>23</v>
      </c>
      <c r="J24" s="24">
        <v>32</v>
      </c>
      <c r="K24" s="24">
        <v>5.4</v>
      </c>
      <c r="L24" s="24">
        <f t="shared" si="6"/>
        <v>21.2</v>
      </c>
      <c r="M24" s="219"/>
      <c r="N24" s="219"/>
      <c r="O24" s="219"/>
      <c r="P24" s="219"/>
      <c r="Q24" s="219"/>
      <c r="R24" s="219"/>
      <c r="S24" s="219"/>
      <c r="T24" s="219"/>
      <c r="U24" s="219"/>
    </row>
    <row r="25" spans="1:21" x14ac:dyDescent="0.25">
      <c r="A25" s="219"/>
      <c r="B25" s="200">
        <v>40</v>
      </c>
      <c r="C25" s="204" t="s">
        <v>66</v>
      </c>
      <c r="D25" s="24">
        <v>40</v>
      </c>
      <c r="E25" s="24">
        <v>3.7</v>
      </c>
      <c r="F25" s="24">
        <f t="shared" si="7"/>
        <v>32.6</v>
      </c>
      <c r="G25" s="24">
        <v>40</v>
      </c>
      <c r="H25" s="24">
        <v>5.6</v>
      </c>
      <c r="I25" s="24">
        <f t="shared" si="8"/>
        <v>28.8</v>
      </c>
      <c r="J25" s="24">
        <v>40</v>
      </c>
      <c r="K25" s="24">
        <v>6.7</v>
      </c>
      <c r="L25" s="24">
        <f t="shared" si="6"/>
        <v>26.6</v>
      </c>
      <c r="M25" s="219"/>
      <c r="N25" s="219"/>
      <c r="O25" s="219"/>
      <c r="P25" s="219"/>
      <c r="Q25" s="219"/>
      <c r="R25" s="219"/>
      <c r="S25" s="219"/>
      <c r="T25" s="219"/>
      <c r="U25" s="219"/>
    </row>
    <row r="26" spans="1:21" x14ac:dyDescent="0.25">
      <c r="A26" s="219"/>
      <c r="B26" s="200">
        <v>50</v>
      </c>
      <c r="C26" s="204" t="s">
        <v>68</v>
      </c>
      <c r="D26" s="24">
        <v>50</v>
      </c>
      <c r="E26" s="24">
        <v>4.5999999999999996</v>
      </c>
      <c r="F26" s="24">
        <f t="shared" si="7"/>
        <v>40.799999999999997</v>
      </c>
      <c r="G26" s="24">
        <v>50</v>
      </c>
      <c r="H26" s="24">
        <v>6.9</v>
      </c>
      <c r="I26" s="24">
        <f t="shared" si="8"/>
        <v>36.200000000000003</v>
      </c>
      <c r="J26" s="24">
        <v>50</v>
      </c>
      <c r="K26" s="24">
        <v>8.4</v>
      </c>
      <c r="L26" s="24">
        <f t="shared" si="6"/>
        <v>33.200000000000003</v>
      </c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x14ac:dyDescent="0.25">
      <c r="A27" s="204" t="s">
        <v>219</v>
      </c>
      <c r="B27" s="200">
        <v>63</v>
      </c>
      <c r="C27" s="204" t="s">
        <v>69</v>
      </c>
      <c r="D27" s="24">
        <v>63</v>
      </c>
      <c r="E27" s="24">
        <v>5.8</v>
      </c>
      <c r="F27" s="24">
        <f t="shared" si="7"/>
        <v>51.4</v>
      </c>
      <c r="G27" s="24">
        <v>63</v>
      </c>
      <c r="H27" s="24">
        <v>8.6999999999999993</v>
      </c>
      <c r="I27" s="24">
        <f t="shared" si="8"/>
        <v>45.6</v>
      </c>
      <c r="J27" s="24">
        <v>63</v>
      </c>
      <c r="K27" s="24">
        <v>10.5</v>
      </c>
      <c r="L27" s="24">
        <f t="shared" si="6"/>
        <v>42</v>
      </c>
      <c r="M27" s="219"/>
      <c r="N27" s="219"/>
      <c r="O27" s="219"/>
      <c r="P27" s="219"/>
      <c r="Q27" s="219"/>
      <c r="R27" s="219"/>
      <c r="S27" s="213">
        <v>60</v>
      </c>
      <c r="T27" s="210">
        <v>4.3</v>
      </c>
      <c r="U27" s="213">
        <f>S27-(T27*2)</f>
        <v>51.4</v>
      </c>
    </row>
    <row r="28" spans="1:21" x14ac:dyDescent="0.25">
      <c r="A28" s="204" t="s">
        <v>220</v>
      </c>
      <c r="B28" s="200">
        <v>75</v>
      </c>
      <c r="C28" s="204" t="s">
        <v>71</v>
      </c>
      <c r="D28" s="24">
        <v>75</v>
      </c>
      <c r="E28" s="24">
        <v>6.9</v>
      </c>
      <c r="F28" s="24">
        <f t="shared" si="7"/>
        <v>61.2</v>
      </c>
      <c r="G28" s="24">
        <v>75</v>
      </c>
      <c r="H28" s="24">
        <v>10.4</v>
      </c>
      <c r="I28" s="24">
        <f t="shared" si="8"/>
        <v>54.2</v>
      </c>
      <c r="J28" s="24">
        <v>75</v>
      </c>
      <c r="K28" s="24">
        <v>12.5</v>
      </c>
      <c r="L28" s="24">
        <f t="shared" si="6"/>
        <v>50</v>
      </c>
      <c r="M28" s="219"/>
      <c r="N28" s="219"/>
      <c r="O28" s="219"/>
      <c r="P28" s="219"/>
      <c r="Q28" s="219"/>
      <c r="R28" s="219"/>
      <c r="S28" s="213">
        <v>75</v>
      </c>
      <c r="T28" s="210">
        <v>5.3</v>
      </c>
      <c r="U28" s="213">
        <f t="shared" ref="U28:U30" si="9">S28-(T28*2)</f>
        <v>64.400000000000006</v>
      </c>
    </row>
    <row r="29" spans="1:21" x14ac:dyDescent="0.25">
      <c r="A29" s="204" t="s">
        <v>221</v>
      </c>
      <c r="B29" s="200">
        <v>90</v>
      </c>
      <c r="C29" s="204" t="s">
        <v>73</v>
      </c>
      <c r="D29" s="24">
        <v>90</v>
      </c>
      <c r="E29" s="24">
        <v>8.1999999999999993</v>
      </c>
      <c r="F29" s="24">
        <f t="shared" si="7"/>
        <v>73.599999999999994</v>
      </c>
      <c r="G29" s="24">
        <v>90</v>
      </c>
      <c r="H29" s="24">
        <v>12.5</v>
      </c>
      <c r="I29" s="24">
        <f t="shared" si="8"/>
        <v>65</v>
      </c>
      <c r="J29" s="24">
        <v>90</v>
      </c>
      <c r="K29" s="24">
        <v>15</v>
      </c>
      <c r="L29" s="24">
        <f t="shared" si="6"/>
        <v>60</v>
      </c>
      <c r="M29" s="219"/>
      <c r="N29" s="219"/>
      <c r="O29" s="219"/>
      <c r="P29" s="219"/>
      <c r="Q29" s="219"/>
      <c r="R29" s="219"/>
      <c r="S29" s="213">
        <v>85</v>
      </c>
      <c r="T29" s="210">
        <v>6.1</v>
      </c>
      <c r="U29" s="213">
        <f t="shared" si="9"/>
        <v>72.8</v>
      </c>
    </row>
    <row r="30" spans="1:21" x14ac:dyDescent="0.25">
      <c r="A30" s="204" t="s">
        <v>222</v>
      </c>
      <c r="B30" s="219"/>
      <c r="C30" s="204" t="s">
        <v>75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3">
        <v>110</v>
      </c>
      <c r="T30" s="210">
        <v>7.8</v>
      </c>
      <c r="U30" s="213">
        <f t="shared" si="9"/>
        <v>94.4</v>
      </c>
    </row>
    <row r="31" spans="1:21" x14ac:dyDescent="0.25">
      <c r="A31" s="204" t="s">
        <v>258</v>
      </c>
      <c r="B31" s="219"/>
      <c r="C31" s="204" t="s">
        <v>76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x14ac:dyDescent="0.25">
      <c r="A32" s="204" t="s">
        <v>223</v>
      </c>
      <c r="B32" s="219"/>
      <c r="C32" s="204" t="s">
        <v>78</v>
      </c>
      <c r="D32" s="219"/>
      <c r="E32" s="219"/>
      <c r="F32" s="219"/>
      <c r="G32" s="219"/>
      <c r="H32" s="219"/>
      <c r="I32" s="219"/>
      <c r="J32" s="219"/>
      <c r="K32" s="219"/>
      <c r="L32" s="219"/>
      <c r="M32" s="213">
        <v>160</v>
      </c>
      <c r="N32" s="210">
        <v>7.3</v>
      </c>
      <c r="O32" s="24">
        <f>P32-(N32*2)</f>
        <v>145.4</v>
      </c>
      <c r="P32" s="213">
        <v>160</v>
      </c>
      <c r="Q32" s="210">
        <v>8.9</v>
      </c>
      <c r="R32" s="24">
        <f>P32-(Q32*2)</f>
        <v>142.19999999999999</v>
      </c>
      <c r="S32" s="213">
        <v>160</v>
      </c>
      <c r="T32" s="210">
        <v>11.4</v>
      </c>
      <c r="U32" s="213">
        <f t="shared" ref="U32:U33" si="10">S32-(T32*2)</f>
        <v>137.19999999999999</v>
      </c>
    </row>
    <row r="33" spans="1:21" x14ac:dyDescent="0.25">
      <c r="A33" s="204" t="s">
        <v>218</v>
      </c>
      <c r="B33" s="219"/>
      <c r="C33" s="204" t="s">
        <v>80</v>
      </c>
      <c r="D33" s="219"/>
      <c r="E33" s="219"/>
      <c r="F33" s="219"/>
      <c r="G33" s="219"/>
      <c r="H33" s="219"/>
      <c r="I33" s="219"/>
      <c r="J33" s="219"/>
      <c r="K33" s="219"/>
      <c r="L33" s="219"/>
      <c r="M33" s="213">
        <v>200</v>
      </c>
      <c r="N33" s="210">
        <v>9.1</v>
      </c>
      <c r="O33" s="24">
        <f>P33-(N33*2)</f>
        <v>181.8</v>
      </c>
      <c r="P33" s="213">
        <v>200</v>
      </c>
      <c r="Q33" s="210">
        <v>14.3</v>
      </c>
      <c r="R33" s="24">
        <f>P33-(Q33*2)</f>
        <v>171.4</v>
      </c>
      <c r="S33" s="213">
        <v>200</v>
      </c>
      <c r="T33" s="210">
        <v>11.1</v>
      </c>
      <c r="U33" s="213">
        <f t="shared" si="10"/>
        <v>177.8</v>
      </c>
    </row>
  </sheetData>
  <sheetProtection password="DD3A" sheet="1" objects="1" scenarios="1"/>
  <mergeCells count="13">
    <mergeCell ref="A1:Y1"/>
    <mergeCell ref="D20:F20"/>
    <mergeCell ref="G20:I20"/>
    <mergeCell ref="J20:L20"/>
    <mergeCell ref="M20:O20"/>
    <mergeCell ref="P20:R20"/>
    <mergeCell ref="S20:U20"/>
    <mergeCell ref="D4:F4"/>
    <mergeCell ref="G4:I4"/>
    <mergeCell ref="J4:L4"/>
    <mergeCell ref="M4:O4"/>
    <mergeCell ref="P4:R4"/>
    <mergeCell ref="S4:U4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C1" workbookViewId="0">
      <selection activeCell="M9" sqref="M9:M10"/>
    </sheetView>
  </sheetViews>
  <sheetFormatPr defaultRowHeight="15" x14ac:dyDescent="0.25"/>
  <cols>
    <col min="1" max="2" width="9.140625" hidden="1" customWidth="1"/>
    <col min="3" max="3" width="48.28515625" customWidth="1"/>
    <col min="4" max="4" width="12.140625" bestFit="1" customWidth="1"/>
    <col min="15" max="15" width="2.140625" customWidth="1"/>
    <col min="16" max="16" width="13.140625" customWidth="1"/>
  </cols>
  <sheetData>
    <row r="1" spans="3:17" ht="15.75" thickBot="1" x14ac:dyDescent="0.3"/>
    <row r="2" spans="3:17" ht="43.5" customHeight="1" x14ac:dyDescent="0.35">
      <c r="C2" s="7"/>
      <c r="D2" s="226">
        <v>0.5</v>
      </c>
      <c r="E2" s="226">
        <v>0.75</v>
      </c>
      <c r="F2" s="226">
        <v>1</v>
      </c>
      <c r="G2" s="226" t="s">
        <v>102</v>
      </c>
      <c r="H2" s="226" t="s">
        <v>297</v>
      </c>
      <c r="I2" s="226">
        <v>2</v>
      </c>
      <c r="J2" s="226" t="s">
        <v>298</v>
      </c>
      <c r="K2" s="226">
        <v>3</v>
      </c>
      <c r="L2" s="226">
        <v>4</v>
      </c>
      <c r="M2" s="226">
        <v>6</v>
      </c>
      <c r="N2" s="227">
        <v>8</v>
      </c>
      <c r="P2" s="7" t="s">
        <v>317</v>
      </c>
      <c r="Q2" s="228"/>
    </row>
    <row r="3" spans="3:17" x14ac:dyDescent="0.25">
      <c r="C3" s="239" t="s">
        <v>318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8"/>
      <c r="P3" s="11" t="s">
        <v>319</v>
      </c>
      <c r="Q3" s="229"/>
    </row>
    <row r="4" spans="3:17" x14ac:dyDescent="0.25">
      <c r="C4" s="239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P4" s="11" t="s">
        <v>320</v>
      </c>
      <c r="Q4" s="229"/>
    </row>
    <row r="5" spans="3:17" x14ac:dyDescent="0.25">
      <c r="C5" s="239" t="s">
        <v>299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  <c r="P5" s="11" t="s">
        <v>321</v>
      </c>
      <c r="Q5" s="229"/>
    </row>
    <row r="6" spans="3:17" x14ac:dyDescent="0.25">
      <c r="C6" s="239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  <c r="P6" s="11" t="s">
        <v>322</v>
      </c>
      <c r="Q6" s="229"/>
    </row>
    <row r="7" spans="3:17" x14ac:dyDescent="0.25">
      <c r="C7" s="239" t="s">
        <v>300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  <c r="P7" s="11" t="s">
        <v>323</v>
      </c>
      <c r="Q7" s="229"/>
    </row>
    <row r="8" spans="3:17" x14ac:dyDescent="0.25">
      <c r="C8" s="239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/>
      <c r="P8" s="11" t="s">
        <v>322</v>
      </c>
      <c r="Q8" s="229"/>
    </row>
    <row r="9" spans="3:17" x14ac:dyDescent="0.25">
      <c r="C9" s="239" t="s">
        <v>301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8"/>
      <c r="P9" s="11" t="s">
        <v>324</v>
      </c>
      <c r="Q9" s="229"/>
    </row>
    <row r="10" spans="3:17" x14ac:dyDescent="0.25">
      <c r="C10" s="239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  <c r="P10" s="11" t="s">
        <v>325</v>
      </c>
      <c r="Q10" s="229"/>
    </row>
    <row r="11" spans="3:17" x14ac:dyDescent="0.25">
      <c r="C11" s="239" t="s">
        <v>302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8"/>
      <c r="P11" s="11" t="s">
        <v>326</v>
      </c>
      <c r="Q11" s="229"/>
    </row>
    <row r="12" spans="3:17" x14ac:dyDescent="0.25">
      <c r="C12" s="239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8"/>
      <c r="P12" s="11" t="s">
        <v>327</v>
      </c>
      <c r="Q12" s="229"/>
    </row>
    <row r="13" spans="3:17" x14ac:dyDescent="0.25">
      <c r="C13" s="239" t="s">
        <v>303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P13" s="11" t="s">
        <v>328</v>
      </c>
      <c r="Q13" s="229"/>
    </row>
    <row r="14" spans="3:17" x14ac:dyDescent="0.25">
      <c r="C14" s="239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  <c r="P14" s="11" t="s">
        <v>329</v>
      </c>
      <c r="Q14" s="229"/>
    </row>
    <row r="15" spans="3:17" x14ac:dyDescent="0.25">
      <c r="C15" s="239" t="s">
        <v>304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  <c r="P15" s="11" t="s">
        <v>330</v>
      </c>
      <c r="Q15" s="229"/>
    </row>
    <row r="16" spans="3:17" x14ac:dyDescent="0.25">
      <c r="C16" s="239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  <c r="P16" s="11" t="s">
        <v>331</v>
      </c>
      <c r="Q16" s="229"/>
    </row>
    <row r="17" spans="3:17" x14ac:dyDescent="0.25">
      <c r="C17" s="239" t="s">
        <v>305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P17" s="11" t="s">
        <v>332</v>
      </c>
      <c r="Q17" s="229"/>
    </row>
    <row r="18" spans="3:17" x14ac:dyDescent="0.25">
      <c r="C18" s="239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P18" s="11" t="s">
        <v>333</v>
      </c>
      <c r="Q18" s="229"/>
    </row>
    <row r="19" spans="3:17" x14ac:dyDescent="0.25">
      <c r="C19" s="239" t="s">
        <v>306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P19" s="11" t="s">
        <v>335</v>
      </c>
      <c r="Q19" s="229"/>
    </row>
    <row r="20" spans="3:17" x14ac:dyDescent="0.25">
      <c r="C20" s="23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P20" s="11" t="s">
        <v>336</v>
      </c>
      <c r="Q20" s="229"/>
    </row>
    <row r="21" spans="3:17" x14ac:dyDescent="0.25">
      <c r="C21" s="239" t="s">
        <v>307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8"/>
      <c r="P21" s="11" t="s">
        <v>334</v>
      </c>
      <c r="Q21" s="229"/>
    </row>
    <row r="22" spans="3:17" x14ac:dyDescent="0.25">
      <c r="C22" s="239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8"/>
      <c r="P22" s="11" t="s">
        <v>337</v>
      </c>
      <c r="Q22" s="229"/>
    </row>
    <row r="23" spans="3:17" x14ac:dyDescent="0.25">
      <c r="C23" s="239" t="s">
        <v>308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8"/>
      <c r="P23" s="11" t="s">
        <v>338</v>
      </c>
      <c r="Q23" s="229"/>
    </row>
    <row r="24" spans="3:17" x14ac:dyDescent="0.25">
      <c r="C24" s="239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8"/>
      <c r="P24" s="11" t="s">
        <v>339</v>
      </c>
      <c r="Q24" s="229"/>
    </row>
    <row r="25" spans="3:17" x14ac:dyDescent="0.25">
      <c r="C25" s="239" t="s">
        <v>309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8"/>
      <c r="P25" s="11" t="s">
        <v>340</v>
      </c>
      <c r="Q25" s="229"/>
    </row>
    <row r="26" spans="3:17" x14ac:dyDescent="0.25">
      <c r="C26" s="239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8"/>
      <c r="P26" s="11" t="s">
        <v>341</v>
      </c>
      <c r="Q26" s="229"/>
    </row>
    <row r="27" spans="3:17" x14ac:dyDescent="0.25">
      <c r="C27" s="239" t="s">
        <v>310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8"/>
      <c r="P27" s="11" t="s">
        <v>342</v>
      </c>
      <c r="Q27" s="229"/>
    </row>
    <row r="28" spans="3:17" x14ac:dyDescent="0.25">
      <c r="C28" s="239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8"/>
      <c r="P28" s="11" t="s">
        <v>343</v>
      </c>
      <c r="Q28" s="229"/>
    </row>
    <row r="29" spans="3:17" x14ac:dyDescent="0.25">
      <c r="C29" s="239" t="s">
        <v>311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  <c r="P29" s="11" t="s">
        <v>344</v>
      </c>
      <c r="Q29" s="229"/>
    </row>
    <row r="30" spans="3:17" x14ac:dyDescent="0.25">
      <c r="C30" s="239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8"/>
      <c r="P30" s="11" t="s">
        <v>345</v>
      </c>
      <c r="Q30" s="229"/>
    </row>
    <row r="31" spans="3:17" ht="15.75" thickBot="1" x14ac:dyDescent="0.3">
      <c r="C31" s="239" t="s">
        <v>312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8"/>
      <c r="P31" s="14" t="s">
        <v>346</v>
      </c>
      <c r="Q31" s="230"/>
    </row>
    <row r="32" spans="3:17" x14ac:dyDescent="0.25">
      <c r="C32" s="239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8"/>
    </row>
    <row r="33" spans="3:14" x14ac:dyDescent="0.25">
      <c r="C33" s="239" t="s">
        <v>313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8"/>
    </row>
    <row r="34" spans="3:14" x14ac:dyDescent="0.25">
      <c r="C34" s="239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8"/>
    </row>
    <row r="35" spans="3:14" x14ac:dyDescent="0.25">
      <c r="C35" s="239" t="s">
        <v>314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</row>
    <row r="36" spans="3:14" x14ac:dyDescent="0.25">
      <c r="C36" s="239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8"/>
    </row>
    <row r="37" spans="3:14" x14ac:dyDescent="0.25">
      <c r="C37" s="239" t="s">
        <v>315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8"/>
    </row>
    <row r="38" spans="3:14" x14ac:dyDescent="0.25">
      <c r="C38" s="239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8"/>
    </row>
    <row r="39" spans="3:14" x14ac:dyDescent="0.25">
      <c r="C39" s="239" t="s">
        <v>316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8"/>
    </row>
    <row r="40" spans="3:14" ht="15.75" thickBot="1" x14ac:dyDescent="0.3">
      <c r="C40" s="242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</row>
  </sheetData>
  <mergeCells count="228">
    <mergeCell ref="I39:I40"/>
    <mergeCell ref="J39:J40"/>
    <mergeCell ref="K39:K40"/>
    <mergeCell ref="L39:L40"/>
    <mergeCell ref="M39:M40"/>
    <mergeCell ref="N39:N40"/>
    <mergeCell ref="C39:C40"/>
    <mergeCell ref="D39:D40"/>
    <mergeCell ref="E39:E40"/>
    <mergeCell ref="F39:F40"/>
    <mergeCell ref="G39:G40"/>
    <mergeCell ref="H39:H40"/>
    <mergeCell ref="I37:I38"/>
    <mergeCell ref="J37:J38"/>
    <mergeCell ref="K37:K38"/>
    <mergeCell ref="L37:L38"/>
    <mergeCell ref="M37:M38"/>
    <mergeCell ref="N37:N38"/>
    <mergeCell ref="C37:C38"/>
    <mergeCell ref="D37:D38"/>
    <mergeCell ref="E37:E38"/>
    <mergeCell ref="F37:F38"/>
    <mergeCell ref="G37:G38"/>
    <mergeCell ref="H37:H38"/>
    <mergeCell ref="I35:I36"/>
    <mergeCell ref="J35:J36"/>
    <mergeCell ref="L35:L36"/>
    <mergeCell ref="M35:M36"/>
    <mergeCell ref="N35:N36"/>
    <mergeCell ref="K35:K36"/>
    <mergeCell ref="C35:C36"/>
    <mergeCell ref="D35:D36"/>
    <mergeCell ref="E35:E36"/>
    <mergeCell ref="F35:F36"/>
    <mergeCell ref="G35:G36"/>
    <mergeCell ref="H35:H36"/>
    <mergeCell ref="I33:I34"/>
    <mergeCell ref="J33:J34"/>
    <mergeCell ref="K33:K34"/>
    <mergeCell ref="M33:M34"/>
    <mergeCell ref="N33:N34"/>
    <mergeCell ref="L33:L34"/>
    <mergeCell ref="C33:C34"/>
    <mergeCell ref="D33:D34"/>
    <mergeCell ref="E33:E34"/>
    <mergeCell ref="F33:F34"/>
    <mergeCell ref="G33:G34"/>
    <mergeCell ref="H33:H34"/>
    <mergeCell ref="L29:L30"/>
    <mergeCell ref="M29:M30"/>
    <mergeCell ref="L31:L32"/>
    <mergeCell ref="N29:N30"/>
    <mergeCell ref="M31:M32"/>
    <mergeCell ref="N31:N32"/>
    <mergeCell ref="J29:J30"/>
    <mergeCell ref="K29:K30"/>
    <mergeCell ref="H31:H32"/>
    <mergeCell ref="I31:I32"/>
    <mergeCell ref="J31:J32"/>
    <mergeCell ref="K31:K32"/>
    <mergeCell ref="F29:F30"/>
    <mergeCell ref="F31:F32"/>
    <mergeCell ref="G31:G32"/>
    <mergeCell ref="G29:G30"/>
    <mergeCell ref="H29:H30"/>
    <mergeCell ref="I29:I30"/>
    <mergeCell ref="C29:C30"/>
    <mergeCell ref="C31:C32"/>
    <mergeCell ref="D31:D32"/>
    <mergeCell ref="D29:D30"/>
    <mergeCell ref="E29:E30"/>
    <mergeCell ref="E31:E32"/>
    <mergeCell ref="I27:I28"/>
    <mergeCell ref="J27:J28"/>
    <mergeCell ref="K27:K28"/>
    <mergeCell ref="L27:L28"/>
    <mergeCell ref="M27:M28"/>
    <mergeCell ref="N27:N28"/>
    <mergeCell ref="C27:C28"/>
    <mergeCell ref="D27:D28"/>
    <mergeCell ref="E27:E28"/>
    <mergeCell ref="F27:F28"/>
    <mergeCell ref="G27:G28"/>
    <mergeCell ref="H27:H28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  <mergeCell ref="N21:N22"/>
    <mergeCell ref="M21:M22"/>
    <mergeCell ref="L21:L22"/>
    <mergeCell ref="K21:K22"/>
    <mergeCell ref="J21:J22"/>
    <mergeCell ref="I21:I22"/>
    <mergeCell ref="M17:M18"/>
    <mergeCell ref="N17:N18"/>
    <mergeCell ref="M19:M20"/>
    <mergeCell ref="K19:K20"/>
    <mergeCell ref="L19:L20"/>
    <mergeCell ref="N19:N20"/>
    <mergeCell ref="L17:L18"/>
    <mergeCell ref="C21:C22"/>
    <mergeCell ref="D21:D22"/>
    <mergeCell ref="D19:D20"/>
    <mergeCell ref="E19:E20"/>
    <mergeCell ref="F19:F20"/>
    <mergeCell ref="E21:E22"/>
    <mergeCell ref="F21:F22"/>
    <mergeCell ref="J15:J16"/>
    <mergeCell ref="K15:K16"/>
    <mergeCell ref="C15:C16"/>
    <mergeCell ref="C17:C18"/>
    <mergeCell ref="C19:C20"/>
    <mergeCell ref="G19:G20"/>
    <mergeCell ref="H19:H20"/>
    <mergeCell ref="G21:G22"/>
    <mergeCell ref="I19:I20"/>
    <mergeCell ref="J19:J20"/>
    <mergeCell ref="K17:K18"/>
    <mergeCell ref="H21:H22"/>
    <mergeCell ref="I17:I18"/>
    <mergeCell ref="J17:J18"/>
    <mergeCell ref="D17:D18"/>
    <mergeCell ref="E17:E18"/>
    <mergeCell ref="F17:F18"/>
    <mergeCell ref="G17:G18"/>
    <mergeCell ref="H17:H18"/>
    <mergeCell ref="N13:N14"/>
    <mergeCell ref="D15:D16"/>
    <mergeCell ref="E15:E16"/>
    <mergeCell ref="F15:F16"/>
    <mergeCell ref="G15:G16"/>
    <mergeCell ref="H15:H16"/>
    <mergeCell ref="I15:I16"/>
    <mergeCell ref="H13:H14"/>
    <mergeCell ref="I13:I14"/>
    <mergeCell ref="J13:J14"/>
    <mergeCell ref="K13:K14"/>
    <mergeCell ref="L13:L14"/>
    <mergeCell ref="M13:M14"/>
    <mergeCell ref="L11:L12"/>
    <mergeCell ref="M11:M12"/>
    <mergeCell ref="N11:N12"/>
    <mergeCell ref="C13:C14"/>
    <mergeCell ref="D13:D14"/>
    <mergeCell ref="E13:E14"/>
    <mergeCell ref="F13:F14"/>
    <mergeCell ref="G13:G14"/>
    <mergeCell ref="L15:L16"/>
    <mergeCell ref="M15:M16"/>
    <mergeCell ref="N15:N16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7:C8"/>
    <mergeCell ref="D7:D8"/>
    <mergeCell ref="E7:E8"/>
    <mergeCell ref="F7:F8"/>
    <mergeCell ref="G7:G8"/>
    <mergeCell ref="N7:N8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H7:H8"/>
    <mergeCell ref="I7:I8"/>
    <mergeCell ref="J7:J8"/>
    <mergeCell ref="K7:K8"/>
    <mergeCell ref="L7:L8"/>
    <mergeCell ref="M7:M8"/>
    <mergeCell ref="K9:K10"/>
    <mergeCell ref="M9:M10"/>
    <mergeCell ref="N9:N10"/>
    <mergeCell ref="L3:L4"/>
    <mergeCell ref="M3:M4"/>
    <mergeCell ref="N3:N4"/>
    <mergeCell ref="C5:C6"/>
    <mergeCell ref="D5:D6"/>
    <mergeCell ref="E5:E6"/>
    <mergeCell ref="F5:F6"/>
    <mergeCell ref="G5:G6"/>
    <mergeCell ref="H5:H6"/>
    <mergeCell ref="I5:I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J5:J6"/>
    <mergeCell ref="K5:K6"/>
    <mergeCell ref="M5:M6"/>
    <mergeCell ref="N5:N6"/>
    <mergeCell ref="L5:L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4" zoomScaleNormal="84" workbookViewId="0">
      <selection activeCell="E13" sqref="E13"/>
    </sheetView>
  </sheetViews>
  <sheetFormatPr defaultRowHeight="15" x14ac:dyDescent="0.25"/>
  <cols>
    <col min="1" max="1" width="25.7109375" customWidth="1"/>
    <col min="2" max="2" width="9.5703125" customWidth="1"/>
    <col min="3" max="3" width="15.28515625" style="1" customWidth="1"/>
    <col min="4" max="4" width="50.85546875" bestFit="1" customWidth="1"/>
    <col min="5" max="5" width="16.140625" style="1" customWidth="1"/>
    <col min="6" max="6" width="17.28515625" customWidth="1"/>
    <col min="8" max="8" width="50.85546875" bestFit="1" customWidth="1"/>
  </cols>
  <sheetData>
    <row r="1" spans="1:6" s="39" customFormat="1" ht="70.5" customHeight="1" thickBot="1" x14ac:dyDescent="0.3">
      <c r="A1" s="244"/>
      <c r="B1" s="245"/>
      <c r="C1" s="245"/>
      <c r="D1" s="245"/>
      <c r="E1" s="245"/>
      <c r="F1" s="246"/>
    </row>
    <row r="2" spans="1:6" ht="35.25" customHeight="1" thickBot="1" x14ac:dyDescent="0.3">
      <c r="A2" s="92" t="s">
        <v>130</v>
      </c>
      <c r="B2" s="247"/>
      <c r="C2" s="248"/>
      <c r="D2" s="248"/>
      <c r="E2" s="248"/>
      <c r="F2" s="249"/>
    </row>
    <row r="3" spans="1:6" ht="19.5" thickBot="1" x14ac:dyDescent="0.3">
      <c r="A3" s="2"/>
      <c r="B3" s="4"/>
      <c r="C3" s="250" t="s">
        <v>260</v>
      </c>
      <c r="D3" s="251"/>
      <c r="E3" s="251"/>
      <c r="F3" s="252"/>
    </row>
    <row r="4" spans="1:6" x14ac:dyDescent="0.25">
      <c r="A4" s="2"/>
      <c r="B4" s="4"/>
      <c r="C4" s="5"/>
      <c r="D4" s="4"/>
      <c r="E4" s="5"/>
      <c r="F4" s="3"/>
    </row>
    <row r="5" spans="1:6" x14ac:dyDescent="0.25">
      <c r="A5" s="2"/>
      <c r="B5" s="4"/>
      <c r="C5" s="5"/>
      <c r="D5" s="4"/>
      <c r="E5" s="5"/>
      <c r="F5" s="3"/>
    </row>
    <row r="6" spans="1:6" ht="15.75" x14ac:dyDescent="0.25">
      <c r="A6" s="2"/>
      <c r="B6" s="4"/>
      <c r="C6" s="93" t="s">
        <v>10</v>
      </c>
      <c r="D6" s="94" t="s">
        <v>11</v>
      </c>
      <c r="E6" s="36">
        <v>150</v>
      </c>
      <c r="F6" s="96" t="s">
        <v>1</v>
      </c>
    </row>
    <row r="7" spans="1:6" ht="15.75" x14ac:dyDescent="0.25">
      <c r="A7" s="2"/>
      <c r="B7" s="4"/>
      <c r="C7" s="93" t="s">
        <v>12</v>
      </c>
      <c r="D7" s="94" t="s">
        <v>13</v>
      </c>
      <c r="E7" s="36">
        <v>10</v>
      </c>
      <c r="F7" s="96" t="s">
        <v>2</v>
      </c>
    </row>
    <row r="8" spans="1:6" ht="15.75" x14ac:dyDescent="0.25">
      <c r="A8" s="2"/>
      <c r="B8" s="4"/>
      <c r="C8" s="93" t="s">
        <v>14</v>
      </c>
      <c r="D8" s="94" t="s">
        <v>15</v>
      </c>
      <c r="E8" s="36">
        <v>35</v>
      </c>
      <c r="F8" s="96" t="s">
        <v>2</v>
      </c>
    </row>
    <row r="9" spans="1:6" ht="15.75" thickBot="1" x14ac:dyDescent="0.3">
      <c r="A9" s="2"/>
      <c r="B9" s="4"/>
      <c r="C9" s="5"/>
      <c r="D9" s="4"/>
      <c r="E9" s="5"/>
      <c r="F9" s="97"/>
    </row>
    <row r="10" spans="1:6" ht="15.75" thickBot="1" x14ac:dyDescent="0.3">
      <c r="A10" s="2"/>
      <c r="B10" s="4"/>
      <c r="C10" s="5"/>
      <c r="D10" s="4"/>
      <c r="E10" s="95" t="s">
        <v>16</v>
      </c>
      <c r="F10" s="97"/>
    </row>
    <row r="11" spans="1:6" x14ac:dyDescent="0.25">
      <c r="A11" s="2"/>
      <c r="B11" s="4"/>
      <c r="C11" s="5"/>
      <c r="D11" s="4"/>
      <c r="E11" s="5"/>
      <c r="F11" s="97"/>
    </row>
    <row r="12" spans="1:6" ht="15.75" x14ac:dyDescent="0.25">
      <c r="A12" s="2"/>
      <c r="B12" s="4"/>
      <c r="C12" s="243" t="s">
        <v>6</v>
      </c>
      <c r="D12" s="94" t="s">
        <v>0</v>
      </c>
      <c r="E12" s="93">
        <v>6.1199999999999997E-2</v>
      </c>
      <c r="F12" s="96" t="s">
        <v>5</v>
      </c>
    </row>
    <row r="13" spans="1:6" ht="15.75" x14ac:dyDescent="0.25">
      <c r="A13" s="2"/>
      <c r="B13" s="4"/>
      <c r="C13" s="243"/>
      <c r="D13" s="94" t="s">
        <v>3</v>
      </c>
      <c r="E13" s="6">
        <f>E6*E12*(E8-E7)</f>
        <v>229.5</v>
      </c>
      <c r="F13" s="96" t="s">
        <v>4</v>
      </c>
    </row>
    <row r="14" spans="1:6" x14ac:dyDescent="0.25">
      <c r="A14" s="2"/>
      <c r="B14" s="4"/>
      <c r="C14" s="5"/>
      <c r="D14" s="4"/>
      <c r="E14" s="5"/>
      <c r="F14" s="97"/>
    </row>
    <row r="15" spans="1:6" x14ac:dyDescent="0.25">
      <c r="A15" s="2"/>
      <c r="B15" s="4"/>
      <c r="C15" s="5"/>
      <c r="D15" s="4"/>
      <c r="E15" s="5"/>
      <c r="F15" s="97"/>
    </row>
    <row r="16" spans="1:6" ht="15.75" x14ac:dyDescent="0.25">
      <c r="A16" s="2"/>
      <c r="B16" s="4"/>
      <c r="C16" s="243" t="s">
        <v>7</v>
      </c>
      <c r="D16" s="94" t="s">
        <v>0</v>
      </c>
      <c r="E16" s="93">
        <v>7.0000000000000007E-2</v>
      </c>
      <c r="F16" s="96" t="s">
        <v>5</v>
      </c>
    </row>
    <row r="17" spans="1:6" ht="15.75" x14ac:dyDescent="0.25">
      <c r="A17" s="2"/>
      <c r="B17" s="4"/>
      <c r="C17" s="243"/>
      <c r="D17" s="94" t="s">
        <v>3</v>
      </c>
      <c r="E17" s="6">
        <f>E6*E16*(E8-E7)</f>
        <v>262.50000000000006</v>
      </c>
      <c r="F17" s="96" t="s">
        <v>4</v>
      </c>
    </row>
    <row r="18" spans="1:6" ht="15.75" x14ac:dyDescent="0.25">
      <c r="A18" s="2"/>
      <c r="B18" s="4"/>
      <c r="C18" s="98"/>
      <c r="D18" s="99"/>
      <c r="E18" s="98"/>
      <c r="F18" s="100"/>
    </row>
    <row r="19" spans="1:6" ht="15.75" x14ac:dyDescent="0.25">
      <c r="A19" s="2"/>
      <c r="B19" s="4"/>
      <c r="C19" s="98"/>
      <c r="D19" s="99"/>
      <c r="E19" s="98"/>
      <c r="F19" s="100"/>
    </row>
    <row r="20" spans="1:6" ht="15.75" x14ac:dyDescent="0.25">
      <c r="A20" s="2"/>
      <c r="B20" s="4"/>
      <c r="C20" s="243" t="s">
        <v>8</v>
      </c>
      <c r="D20" s="94" t="s">
        <v>0</v>
      </c>
      <c r="E20" s="93">
        <v>0.15</v>
      </c>
      <c r="F20" s="96" t="s">
        <v>5</v>
      </c>
    </row>
    <row r="21" spans="1:6" ht="15.75" x14ac:dyDescent="0.25">
      <c r="A21" s="2"/>
      <c r="B21" s="4"/>
      <c r="C21" s="243"/>
      <c r="D21" s="94" t="s">
        <v>3</v>
      </c>
      <c r="E21" s="6">
        <f>E6*E20*(E8-E7)</f>
        <v>562.5</v>
      </c>
      <c r="F21" s="96" t="s">
        <v>4</v>
      </c>
    </row>
    <row r="22" spans="1:6" ht="15.75" x14ac:dyDescent="0.25">
      <c r="A22" s="2"/>
      <c r="B22" s="4"/>
      <c r="C22" s="98"/>
      <c r="D22" s="99"/>
      <c r="E22" s="98"/>
      <c r="F22" s="100"/>
    </row>
    <row r="23" spans="1:6" ht="15.75" x14ac:dyDescent="0.25">
      <c r="A23" s="2"/>
      <c r="B23" s="4"/>
      <c r="C23" s="98"/>
      <c r="D23" s="99"/>
      <c r="E23" s="98"/>
      <c r="F23" s="100"/>
    </row>
    <row r="24" spans="1:6" ht="15.75" x14ac:dyDescent="0.25">
      <c r="A24" s="2"/>
      <c r="B24" s="4"/>
      <c r="C24" s="243" t="s">
        <v>9</v>
      </c>
      <c r="D24" s="94" t="s">
        <v>0</v>
      </c>
      <c r="E24" s="93">
        <v>7.0000000000000007E-2</v>
      </c>
      <c r="F24" s="96" t="s">
        <v>5</v>
      </c>
    </row>
    <row r="25" spans="1:6" ht="15.75" x14ac:dyDescent="0.25">
      <c r="A25" s="2"/>
      <c r="B25" s="4"/>
      <c r="C25" s="243"/>
      <c r="D25" s="94" t="s">
        <v>3</v>
      </c>
      <c r="E25" s="6">
        <f>E6*E24*(E8-E7)</f>
        <v>262.50000000000006</v>
      </c>
      <c r="F25" s="96" t="s">
        <v>4</v>
      </c>
    </row>
    <row r="26" spans="1:6" ht="15.75" thickBot="1" x14ac:dyDescent="0.3">
      <c r="A26" s="101"/>
      <c r="B26" s="102"/>
      <c r="C26" s="103"/>
      <c r="D26" s="102"/>
      <c r="E26" s="103"/>
      <c r="F26" s="104"/>
    </row>
  </sheetData>
  <sheetProtection algorithmName="SHA-512" hashValue="gvOB8h5neeDvS6i4rrY7GW9nChBa/Nfc519x9P18SXWwr/QMv4jGdCoorH5h+lleUEW/fX31KG5sKUFn6zXtBA==" saltValue="QqO/1PNyQUEpoufTUlyxqg==" spinCount="100000" sheet="1" objects="1" scenarios="1" formatCells="0"/>
  <customSheetViews>
    <customSheetView guid="{C2890FB4-BE88-474C-B3CD-908783EA9CB2}" scale="84">
      <selection activeCell="C11" sqref="C11:C12"/>
      <pageMargins left="0.511811024" right="0.511811024" top="0.78740157499999996" bottom="0.78740157499999996" header="0.31496062000000002" footer="0.31496062000000002"/>
    </customSheetView>
  </customSheetViews>
  <mergeCells count="7">
    <mergeCell ref="C20:C21"/>
    <mergeCell ref="C24:C25"/>
    <mergeCell ref="A1:F1"/>
    <mergeCell ref="B2:F2"/>
    <mergeCell ref="C3:F3"/>
    <mergeCell ref="C12:C13"/>
    <mergeCell ref="C16:C17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5" zoomScale="84" zoomScaleNormal="84" workbookViewId="0">
      <selection activeCell="J11" sqref="J11"/>
    </sheetView>
  </sheetViews>
  <sheetFormatPr defaultRowHeight="15" x14ac:dyDescent="0.25"/>
  <cols>
    <col min="1" max="1" width="25.7109375" customWidth="1"/>
    <col min="2" max="2" width="16.5703125" customWidth="1"/>
    <col min="3" max="3" width="29.42578125" customWidth="1"/>
    <col min="4" max="4" width="11.140625" style="1" bestFit="1" customWidth="1"/>
    <col min="5" max="5" width="9.140625" style="1"/>
    <col min="6" max="6" width="9.7109375" style="1" customWidth="1"/>
  </cols>
  <sheetData>
    <row r="1" spans="1:8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6"/>
    </row>
    <row r="2" spans="1:8" ht="39.950000000000003" customHeight="1" thickBot="1" x14ac:dyDescent="0.3">
      <c r="A2" s="92" t="s">
        <v>130</v>
      </c>
      <c r="B2" s="247"/>
      <c r="C2" s="248"/>
      <c r="D2" s="248"/>
      <c r="E2" s="248"/>
      <c r="F2" s="248"/>
      <c r="G2" s="248"/>
      <c r="H2" s="249"/>
    </row>
    <row r="3" spans="1:8" ht="19.5" thickBot="1" x14ac:dyDescent="0.3">
      <c r="A3" s="2"/>
      <c r="B3" s="4"/>
      <c r="C3" s="253" t="s">
        <v>17</v>
      </c>
      <c r="D3" s="254"/>
      <c r="E3" s="254"/>
      <c r="F3" s="254"/>
      <c r="G3" s="254"/>
      <c r="H3" s="255"/>
    </row>
    <row r="4" spans="1:8" x14ac:dyDescent="0.25">
      <c r="A4" s="2"/>
      <c r="B4" s="4"/>
      <c r="C4" s="4"/>
      <c r="D4" s="5"/>
      <c r="E4" s="5"/>
      <c r="F4" s="5"/>
      <c r="G4" s="4"/>
      <c r="H4" s="3"/>
    </row>
    <row r="5" spans="1:8" x14ac:dyDescent="0.25">
      <c r="A5" s="2"/>
      <c r="B5" s="4"/>
      <c r="C5" s="4"/>
      <c r="D5" s="118" t="s">
        <v>7</v>
      </c>
      <c r="E5" s="118"/>
      <c r="F5" s="133" t="s">
        <v>18</v>
      </c>
      <c r="G5" s="133" t="s">
        <v>19</v>
      </c>
      <c r="H5" s="134" t="s">
        <v>20</v>
      </c>
    </row>
    <row r="6" spans="1:8" x14ac:dyDescent="0.25">
      <c r="A6" s="2"/>
      <c r="B6" s="4"/>
      <c r="C6" s="4"/>
      <c r="D6" s="118" t="s">
        <v>21</v>
      </c>
      <c r="E6" s="118" t="s">
        <v>22</v>
      </c>
      <c r="F6" s="133"/>
      <c r="G6" s="133"/>
      <c r="H6" s="134"/>
    </row>
    <row r="7" spans="1:8" ht="15.75" thickBot="1" x14ac:dyDescent="0.3">
      <c r="A7" s="2"/>
      <c r="B7" s="4"/>
      <c r="C7" s="4"/>
      <c r="D7" s="5"/>
      <c r="E7" s="5"/>
      <c r="F7" s="5"/>
      <c r="G7" s="4"/>
      <c r="H7" s="3"/>
    </row>
    <row r="8" spans="1:8" x14ac:dyDescent="0.25">
      <c r="A8" s="2"/>
      <c r="B8" s="4"/>
      <c r="C8" s="7" t="s">
        <v>23</v>
      </c>
      <c r="D8" s="8" t="s">
        <v>24</v>
      </c>
      <c r="E8" s="8" t="s">
        <v>24</v>
      </c>
      <c r="F8" s="8"/>
      <c r="G8" s="9" t="s">
        <v>24</v>
      </c>
      <c r="H8" s="10"/>
    </row>
    <row r="9" spans="1:8" x14ac:dyDescent="0.25">
      <c r="A9" s="2"/>
      <c r="B9" s="4"/>
      <c r="C9" s="11" t="s">
        <v>25</v>
      </c>
      <c r="D9" s="85"/>
      <c r="E9" s="85"/>
      <c r="F9" s="85" t="s">
        <v>26</v>
      </c>
      <c r="G9" s="12" t="s">
        <v>24</v>
      </c>
      <c r="H9" s="13"/>
    </row>
    <row r="10" spans="1:8" x14ac:dyDescent="0.25">
      <c r="A10" s="2"/>
      <c r="B10" s="4"/>
      <c r="C10" s="11" t="s">
        <v>27</v>
      </c>
      <c r="D10" s="85" t="s">
        <v>24</v>
      </c>
      <c r="E10" s="85" t="s">
        <v>24</v>
      </c>
      <c r="F10" s="85"/>
      <c r="G10" s="12" t="s">
        <v>24</v>
      </c>
      <c r="H10" s="13"/>
    </row>
    <row r="11" spans="1:8" x14ac:dyDescent="0.25">
      <c r="A11" s="2"/>
      <c r="B11" s="4"/>
      <c r="C11" s="11" t="s">
        <v>28</v>
      </c>
      <c r="D11" s="85"/>
      <c r="E11" s="85"/>
      <c r="F11" s="85" t="s">
        <v>26</v>
      </c>
      <c r="G11" s="12" t="s">
        <v>24</v>
      </c>
      <c r="H11" s="13"/>
    </row>
    <row r="12" spans="1:8" x14ac:dyDescent="0.25">
      <c r="A12" s="2"/>
      <c r="B12" s="4"/>
      <c r="C12" s="11" t="s">
        <v>29</v>
      </c>
      <c r="D12" s="85"/>
      <c r="E12" s="85"/>
      <c r="F12" s="85" t="s">
        <v>24</v>
      </c>
      <c r="G12" s="12" t="s">
        <v>24</v>
      </c>
      <c r="H12" s="13"/>
    </row>
    <row r="13" spans="1:8" x14ac:dyDescent="0.25">
      <c r="A13" s="2"/>
      <c r="B13" s="4"/>
      <c r="C13" s="11" t="s">
        <v>30</v>
      </c>
      <c r="D13" s="85" t="s">
        <v>24</v>
      </c>
      <c r="E13" s="85" t="s">
        <v>24</v>
      </c>
      <c r="F13" s="85"/>
      <c r="G13" s="12" t="s">
        <v>24</v>
      </c>
      <c r="H13" s="13"/>
    </row>
    <row r="14" spans="1:8" x14ac:dyDescent="0.25">
      <c r="A14" s="2"/>
      <c r="B14" s="4"/>
      <c r="C14" s="2"/>
      <c r="D14" s="5"/>
      <c r="E14" s="5"/>
      <c r="F14" s="5"/>
      <c r="G14" s="4"/>
      <c r="H14" s="3"/>
    </row>
    <row r="15" spans="1:8" x14ac:dyDescent="0.25">
      <c r="A15" s="2"/>
      <c r="B15" s="4"/>
      <c r="C15" s="11" t="s">
        <v>31</v>
      </c>
      <c r="D15" s="85" t="s">
        <v>24</v>
      </c>
      <c r="E15" s="85" t="s">
        <v>24</v>
      </c>
      <c r="F15" s="85" t="s">
        <v>32</v>
      </c>
      <c r="G15" s="12" t="s">
        <v>24</v>
      </c>
      <c r="H15" s="13" t="s">
        <v>24</v>
      </c>
    </row>
    <row r="16" spans="1:8" x14ac:dyDescent="0.25">
      <c r="A16" s="2"/>
      <c r="B16" s="4"/>
      <c r="C16" s="11" t="s">
        <v>33</v>
      </c>
      <c r="D16" s="85" t="s">
        <v>24</v>
      </c>
      <c r="E16" s="85" t="s">
        <v>24</v>
      </c>
      <c r="F16" s="85" t="s">
        <v>32</v>
      </c>
      <c r="G16" s="12" t="s">
        <v>24</v>
      </c>
      <c r="H16" s="13" t="s">
        <v>34</v>
      </c>
    </row>
    <row r="17" spans="1:9" x14ac:dyDescent="0.25">
      <c r="A17" s="2"/>
      <c r="B17" s="4"/>
      <c r="C17" s="11" t="s">
        <v>35</v>
      </c>
      <c r="D17" s="85" t="s">
        <v>24</v>
      </c>
      <c r="E17" s="85" t="s">
        <v>36</v>
      </c>
      <c r="F17" s="85" t="s">
        <v>36</v>
      </c>
      <c r="G17" s="12" t="s">
        <v>24</v>
      </c>
      <c r="H17" s="13" t="s">
        <v>34</v>
      </c>
    </row>
    <row r="18" spans="1:9" x14ac:dyDescent="0.25">
      <c r="A18" s="2"/>
      <c r="B18" s="4"/>
      <c r="C18" s="11" t="s">
        <v>37</v>
      </c>
      <c r="D18" s="85" t="s">
        <v>36</v>
      </c>
      <c r="E18" s="85" t="s">
        <v>36</v>
      </c>
      <c r="F18" s="85" t="s">
        <v>36</v>
      </c>
      <c r="G18" s="12" t="s">
        <v>24</v>
      </c>
      <c r="H18" s="13" t="s">
        <v>34</v>
      </c>
    </row>
    <row r="19" spans="1:9" x14ac:dyDescent="0.25">
      <c r="A19" s="2"/>
      <c r="B19" s="4"/>
      <c r="C19" s="2"/>
      <c r="D19" s="5"/>
      <c r="E19" s="5"/>
      <c r="F19" s="5"/>
      <c r="G19" s="4"/>
      <c r="H19" s="3"/>
    </row>
    <row r="20" spans="1:9" x14ac:dyDescent="0.25">
      <c r="A20" s="2"/>
      <c r="B20" s="4"/>
      <c r="C20" s="11" t="s">
        <v>38</v>
      </c>
      <c r="D20" s="85" t="s">
        <v>24</v>
      </c>
      <c r="E20" s="85" t="s">
        <v>24</v>
      </c>
      <c r="F20" s="85" t="s">
        <v>34</v>
      </c>
      <c r="G20" s="12" t="s">
        <v>24</v>
      </c>
      <c r="H20" s="13" t="s">
        <v>34</v>
      </c>
    </row>
    <row r="21" spans="1:9" x14ac:dyDescent="0.25">
      <c r="A21" s="2"/>
      <c r="B21" s="4"/>
      <c r="C21" s="11" t="s">
        <v>39</v>
      </c>
      <c r="D21" s="85" t="s">
        <v>24</v>
      </c>
      <c r="E21" s="85" t="s">
        <v>24</v>
      </c>
      <c r="F21" s="85" t="s">
        <v>40</v>
      </c>
      <c r="G21" s="12" t="s">
        <v>24</v>
      </c>
      <c r="H21" s="13" t="s">
        <v>34</v>
      </c>
    </row>
    <row r="22" spans="1:9" x14ac:dyDescent="0.25">
      <c r="A22" s="2"/>
      <c r="B22" s="4"/>
      <c r="C22" s="11" t="s">
        <v>41</v>
      </c>
      <c r="D22" s="85" t="s">
        <v>24</v>
      </c>
      <c r="E22" s="85" t="s">
        <v>24</v>
      </c>
      <c r="F22" s="85" t="s">
        <v>40</v>
      </c>
      <c r="G22" s="12" t="s">
        <v>24</v>
      </c>
      <c r="H22" s="13" t="s">
        <v>34</v>
      </c>
    </row>
    <row r="23" spans="1:9" x14ac:dyDescent="0.25">
      <c r="A23" s="2"/>
      <c r="B23" s="4"/>
      <c r="C23" s="11" t="s">
        <v>42</v>
      </c>
      <c r="D23" s="85" t="s">
        <v>24</v>
      </c>
      <c r="E23" s="85" t="s">
        <v>24</v>
      </c>
      <c r="F23" s="85" t="s">
        <v>34</v>
      </c>
      <c r="G23" s="12" t="s">
        <v>24</v>
      </c>
      <c r="H23" s="13" t="s">
        <v>36</v>
      </c>
    </row>
    <row r="24" spans="1:9" ht="15.75" thickBot="1" x14ac:dyDescent="0.3">
      <c r="A24" s="2"/>
      <c r="B24" s="4"/>
      <c r="C24" s="14" t="s">
        <v>43</v>
      </c>
      <c r="D24" s="15" t="s">
        <v>24</v>
      </c>
      <c r="E24" s="15" t="s">
        <v>24</v>
      </c>
      <c r="F24" s="15" t="s">
        <v>34</v>
      </c>
      <c r="G24" s="16" t="s">
        <v>24</v>
      </c>
      <c r="H24" s="17" t="s">
        <v>34</v>
      </c>
    </row>
    <row r="25" spans="1:9" x14ac:dyDescent="0.25">
      <c r="A25" s="2"/>
      <c r="B25" s="4"/>
      <c r="C25" s="4"/>
      <c r="D25" s="5"/>
      <c r="E25" s="5"/>
      <c r="F25" s="5"/>
      <c r="G25" s="4"/>
      <c r="H25" s="3"/>
      <c r="I25" s="4"/>
    </row>
    <row r="26" spans="1:9" x14ac:dyDescent="0.25">
      <c r="A26" s="2"/>
      <c r="B26" s="4"/>
      <c r="C26" s="4"/>
      <c r="D26" s="109" t="s">
        <v>24</v>
      </c>
      <c r="E26" s="110" t="s">
        <v>44</v>
      </c>
      <c r="F26" s="111"/>
      <c r="G26" s="4"/>
      <c r="H26" s="3"/>
      <c r="I26" s="4"/>
    </row>
    <row r="27" spans="1:9" x14ac:dyDescent="0.25">
      <c r="A27" s="2"/>
      <c r="B27" s="4"/>
      <c r="C27" s="4"/>
      <c r="D27" s="112" t="s">
        <v>36</v>
      </c>
      <c r="E27" s="83" t="s">
        <v>45</v>
      </c>
      <c r="F27" s="113"/>
      <c r="G27" s="4"/>
      <c r="H27" s="3"/>
      <c r="I27" s="4"/>
    </row>
    <row r="28" spans="1:9" x14ac:dyDescent="0.25">
      <c r="A28" s="2"/>
      <c r="B28" s="4"/>
      <c r="C28" s="4"/>
      <c r="D28" s="112" t="s">
        <v>34</v>
      </c>
      <c r="E28" s="83" t="s">
        <v>46</v>
      </c>
      <c r="F28" s="113"/>
      <c r="G28" s="4"/>
      <c r="H28" s="3"/>
      <c r="I28" s="4"/>
    </row>
    <row r="29" spans="1:9" x14ac:dyDescent="0.25">
      <c r="A29" s="2"/>
      <c r="B29" s="4"/>
      <c r="C29" s="4"/>
      <c r="D29" s="112"/>
      <c r="E29" s="84"/>
      <c r="F29" s="113"/>
      <c r="G29" s="4"/>
      <c r="H29" s="3"/>
      <c r="I29" s="4"/>
    </row>
    <row r="30" spans="1:9" x14ac:dyDescent="0.25">
      <c r="A30" s="2"/>
      <c r="B30" s="4"/>
      <c r="C30" s="4"/>
      <c r="D30" s="114" t="s">
        <v>48</v>
      </c>
      <c r="E30" s="84"/>
      <c r="F30" s="113"/>
      <c r="G30" s="4"/>
      <c r="H30" s="3"/>
      <c r="I30" s="4"/>
    </row>
    <row r="31" spans="1:9" ht="15.75" thickBot="1" x14ac:dyDescent="0.3">
      <c r="A31" s="101"/>
      <c r="B31" s="102"/>
      <c r="C31" s="102"/>
      <c r="D31" s="115" t="s">
        <v>47</v>
      </c>
      <c r="E31" s="116"/>
      <c r="F31" s="117"/>
      <c r="G31" s="102"/>
      <c r="H31" s="108"/>
    </row>
  </sheetData>
  <sheetProtection algorithmName="SHA-512" hashValue="e9BRHkFb8sKG41VQai3fyzIqB1Sk6RLDJUJAG5uv4y+hA3TtEJwRyg4XyqUKZK7bzNBEhuxZHo3OpvQZlcY2Gg==" saltValue="r5ezPSO3wF67UhcmBsZUwA==" spinCount="100000" sheet="1" objects="1" scenarios="1" formatCells="0"/>
  <customSheetViews>
    <customSheetView guid="{C2890FB4-BE88-474C-B3CD-908783EA9CB2}" scale="84">
      <pageMargins left="0.511811024" right="0.511811024" top="0.78740157499999996" bottom="0.78740157499999996" header="0.31496062000000002" footer="0.31496062000000002"/>
    </customSheetView>
  </customSheetViews>
  <mergeCells count="3">
    <mergeCell ref="A1:H1"/>
    <mergeCell ref="B2:H2"/>
    <mergeCell ref="C3:H3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="91" zoomScaleNormal="91" workbookViewId="0">
      <selection sqref="A1:W1"/>
    </sheetView>
  </sheetViews>
  <sheetFormatPr defaultRowHeight="15" x14ac:dyDescent="0.25"/>
  <cols>
    <col min="1" max="1" width="25.7109375" customWidth="1"/>
    <col min="2" max="2" width="17.28515625" bestFit="1" customWidth="1"/>
    <col min="14" max="14" width="7.5703125" customWidth="1"/>
    <col min="15" max="15" width="6.28515625" customWidth="1"/>
    <col min="16" max="16" width="16.140625" bestFit="1" customWidth="1"/>
    <col min="18" max="18" width="7.5703125" customWidth="1"/>
    <col min="19" max="19" width="6.85546875" customWidth="1"/>
    <col min="20" max="20" width="16.140625" bestFit="1" customWidth="1"/>
    <col min="22" max="22" width="13.5703125" customWidth="1"/>
    <col min="23" max="23" width="13.85546875" bestFit="1" customWidth="1"/>
  </cols>
  <sheetData>
    <row r="1" spans="1:28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6"/>
    </row>
    <row r="2" spans="1:28" ht="39.75" customHeight="1" thickBot="1" x14ac:dyDescent="0.3">
      <c r="A2" s="92" t="s">
        <v>130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8"/>
    </row>
    <row r="3" spans="1:28" ht="15.75" thickBot="1" x14ac:dyDescent="0.3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</row>
    <row r="4" spans="1:28" ht="19.5" customHeight="1" thickBot="1" x14ac:dyDescent="0.3">
      <c r="A4" s="2"/>
      <c r="B4" s="253" t="s">
        <v>140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4"/>
      <c r="N4" s="253" t="s">
        <v>98</v>
      </c>
      <c r="O4" s="254"/>
      <c r="P4" s="254"/>
      <c r="Q4" s="254"/>
      <c r="R4" s="254"/>
      <c r="S4" s="254"/>
      <c r="T4" s="254"/>
      <c r="U4" s="4"/>
      <c r="V4" s="253" t="s">
        <v>9</v>
      </c>
      <c r="W4" s="255"/>
    </row>
    <row r="5" spans="1:28" x14ac:dyDescent="0.25">
      <c r="A5" s="2"/>
      <c r="B5" s="123" t="s">
        <v>141</v>
      </c>
      <c r="C5" s="125" t="s">
        <v>60</v>
      </c>
      <c r="D5" s="118" t="s">
        <v>63</v>
      </c>
      <c r="E5" s="118" t="s">
        <v>65</v>
      </c>
      <c r="F5" s="118" t="s">
        <v>68</v>
      </c>
      <c r="G5" s="118" t="s">
        <v>69</v>
      </c>
      <c r="H5" s="118" t="s">
        <v>71</v>
      </c>
      <c r="I5" s="118" t="s">
        <v>73</v>
      </c>
      <c r="J5" s="118" t="s">
        <v>75</v>
      </c>
      <c r="K5" s="118" t="s">
        <v>78</v>
      </c>
      <c r="L5" s="118" t="s">
        <v>80</v>
      </c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8" x14ac:dyDescent="0.25">
      <c r="A6" s="2"/>
      <c r="B6" s="124" t="s">
        <v>142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"/>
      <c r="N6" s="260" t="s">
        <v>95</v>
      </c>
      <c r="O6" s="260"/>
      <c r="P6" s="260"/>
      <c r="Q6" s="4"/>
      <c r="R6" s="260" t="s">
        <v>154</v>
      </c>
      <c r="S6" s="260"/>
      <c r="T6" s="260"/>
      <c r="U6" s="4"/>
      <c r="V6" s="260" t="s">
        <v>95</v>
      </c>
      <c r="W6" s="261"/>
    </row>
    <row r="7" spans="1:28" ht="15" customHeight="1" x14ac:dyDescent="0.25">
      <c r="A7" s="2"/>
      <c r="B7" s="124" t="s">
        <v>143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"/>
      <c r="N7" s="260" t="s">
        <v>91</v>
      </c>
      <c r="O7" s="264"/>
      <c r="P7" s="119" t="s">
        <v>94</v>
      </c>
      <c r="Q7" s="4"/>
      <c r="R7" s="260" t="s">
        <v>91</v>
      </c>
      <c r="S7" s="264"/>
      <c r="T7" s="119" t="s">
        <v>94</v>
      </c>
      <c r="U7" s="4"/>
      <c r="V7" s="118" t="s">
        <v>96</v>
      </c>
      <c r="W7" s="262" t="s">
        <v>97</v>
      </c>
    </row>
    <row r="8" spans="1:28" x14ac:dyDescent="0.25">
      <c r="A8" s="2"/>
      <c r="B8" s="124" t="s">
        <v>144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"/>
      <c r="N8" s="118" t="s">
        <v>92</v>
      </c>
      <c r="O8" s="120" t="s">
        <v>4</v>
      </c>
      <c r="P8" s="121" t="s">
        <v>93</v>
      </c>
      <c r="Q8" s="4"/>
      <c r="R8" s="118" t="s">
        <v>92</v>
      </c>
      <c r="S8" s="120" t="s">
        <v>4</v>
      </c>
      <c r="T8" s="121" t="s">
        <v>93</v>
      </c>
      <c r="U8" s="4"/>
      <c r="V8" s="118" t="s">
        <v>4</v>
      </c>
      <c r="W8" s="263"/>
    </row>
    <row r="9" spans="1:28" x14ac:dyDescent="0.25">
      <c r="A9" s="2"/>
      <c r="B9" s="124" t="s">
        <v>145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"/>
      <c r="N9" s="85" t="s">
        <v>60</v>
      </c>
      <c r="O9" s="85">
        <v>20</v>
      </c>
      <c r="P9" s="85">
        <v>142</v>
      </c>
      <c r="Q9" s="4"/>
      <c r="R9" s="85" t="s">
        <v>60</v>
      </c>
      <c r="S9" s="85">
        <v>20</v>
      </c>
      <c r="T9" s="85">
        <v>284</v>
      </c>
      <c r="U9" s="4"/>
      <c r="V9" s="85">
        <v>60</v>
      </c>
      <c r="W9" s="128">
        <v>6</v>
      </c>
    </row>
    <row r="10" spans="1:28" x14ac:dyDescent="0.25">
      <c r="A10" s="2"/>
      <c r="B10" s="124" t="s">
        <v>146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"/>
      <c r="N10" s="85" t="s">
        <v>63</v>
      </c>
      <c r="O10" s="85">
        <v>25</v>
      </c>
      <c r="P10" s="85">
        <v>100</v>
      </c>
      <c r="Q10" s="4"/>
      <c r="R10" s="85" t="s">
        <v>63</v>
      </c>
      <c r="S10" s="85">
        <v>25</v>
      </c>
      <c r="T10" s="85">
        <v>200</v>
      </c>
      <c r="U10" s="4"/>
      <c r="V10" s="85">
        <v>75</v>
      </c>
      <c r="W10" s="128">
        <v>7.5</v>
      </c>
    </row>
    <row r="11" spans="1:28" x14ac:dyDescent="0.25">
      <c r="A11" s="2"/>
      <c r="B11" s="124" t="s">
        <v>147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"/>
      <c r="N11" s="85" t="s">
        <v>65</v>
      </c>
      <c r="O11" s="85">
        <v>32</v>
      </c>
      <c r="P11" s="85">
        <v>62</v>
      </c>
      <c r="Q11" s="4"/>
      <c r="R11" s="85" t="s">
        <v>65</v>
      </c>
      <c r="S11" s="85">
        <v>32</v>
      </c>
      <c r="T11" s="85">
        <v>124</v>
      </c>
      <c r="U11" s="4"/>
      <c r="V11" s="85">
        <v>85</v>
      </c>
      <c r="W11" s="128">
        <v>10</v>
      </c>
    </row>
    <row r="12" spans="1:28" x14ac:dyDescent="0.25">
      <c r="A12" s="2"/>
      <c r="B12" s="124" t="s">
        <v>148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"/>
      <c r="N12" s="85" t="s">
        <v>68</v>
      </c>
      <c r="O12" s="85">
        <v>50</v>
      </c>
      <c r="P12" s="85">
        <v>45</v>
      </c>
      <c r="Q12" s="4"/>
      <c r="R12" s="85" t="s">
        <v>68</v>
      </c>
      <c r="S12" s="85">
        <v>50</v>
      </c>
      <c r="T12" s="85">
        <v>90</v>
      </c>
      <c r="U12" s="4"/>
      <c r="V12" s="85">
        <v>110</v>
      </c>
      <c r="W12" s="128">
        <v>18</v>
      </c>
    </row>
    <row r="13" spans="1:28" x14ac:dyDescent="0.25">
      <c r="A13" s="2"/>
      <c r="B13" s="124" t="s">
        <v>149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"/>
      <c r="N13" s="85" t="s">
        <v>69</v>
      </c>
      <c r="O13" s="85">
        <v>63</v>
      </c>
      <c r="P13" s="85">
        <v>30</v>
      </c>
      <c r="Q13" s="4"/>
      <c r="R13" s="85" t="s">
        <v>69</v>
      </c>
      <c r="S13" s="85">
        <v>63</v>
      </c>
      <c r="T13" s="85">
        <v>60</v>
      </c>
      <c r="U13" s="4"/>
      <c r="V13" s="85">
        <v>140</v>
      </c>
      <c r="W13" s="128">
        <v>26</v>
      </c>
      <c r="X13" s="38"/>
      <c r="Y13" s="38"/>
      <c r="Z13" s="38"/>
      <c r="AA13" s="38"/>
      <c r="AB13" s="38"/>
    </row>
    <row r="14" spans="1:28" x14ac:dyDescent="0.25">
      <c r="A14" s="2"/>
      <c r="B14" s="124" t="s">
        <v>150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85" t="s">
        <v>73</v>
      </c>
      <c r="O14" s="85">
        <v>90</v>
      </c>
      <c r="P14" s="85">
        <v>20</v>
      </c>
      <c r="Q14" s="4"/>
      <c r="R14" s="85" t="s">
        <v>73</v>
      </c>
      <c r="S14" s="85">
        <v>90</v>
      </c>
      <c r="T14" s="85">
        <v>40</v>
      </c>
      <c r="U14" s="4"/>
      <c r="V14" s="85">
        <v>160</v>
      </c>
      <c r="W14" s="128">
        <v>30</v>
      </c>
      <c r="X14" s="38"/>
      <c r="Y14" s="38"/>
      <c r="Z14" s="38"/>
      <c r="AA14" s="38"/>
      <c r="AB14" s="38"/>
    </row>
    <row r="15" spans="1:28" x14ac:dyDescent="0.25">
      <c r="A15" s="2"/>
      <c r="B15" s="124" t="s">
        <v>151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"/>
      <c r="N15" s="85" t="s">
        <v>75</v>
      </c>
      <c r="O15" s="85">
        <v>110</v>
      </c>
      <c r="P15" s="85">
        <v>14</v>
      </c>
      <c r="Q15" s="4"/>
      <c r="R15" s="85" t="s">
        <v>75</v>
      </c>
      <c r="S15" s="85">
        <v>110</v>
      </c>
      <c r="T15" s="85">
        <v>28</v>
      </c>
      <c r="U15" s="4"/>
      <c r="V15" s="85">
        <v>200</v>
      </c>
      <c r="W15" s="128">
        <v>40</v>
      </c>
      <c r="X15" s="38"/>
      <c r="Y15" s="38"/>
      <c r="Z15" s="38"/>
      <c r="AA15" s="38"/>
      <c r="AB15" s="38"/>
    </row>
    <row r="16" spans="1:28" x14ac:dyDescent="0.25">
      <c r="A16" s="2"/>
      <c r="B16" s="118" t="s">
        <v>155</v>
      </c>
      <c r="C16" s="118">
        <f t="shared" ref="C16:L16" si="0">(C6+C8+C11+C14+C15)*2+C9*3+C7+C10+C12+C13</f>
        <v>0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4"/>
      <c r="N16" s="85" t="s">
        <v>78</v>
      </c>
      <c r="O16" s="85">
        <v>160</v>
      </c>
      <c r="P16" s="85">
        <v>5</v>
      </c>
      <c r="Q16" s="4"/>
      <c r="R16" s="85" t="s">
        <v>78</v>
      </c>
      <c r="S16" s="85">
        <v>160</v>
      </c>
      <c r="T16" s="85">
        <v>10</v>
      </c>
      <c r="U16" s="4"/>
      <c r="V16" s="85">
        <v>250</v>
      </c>
      <c r="W16" s="128">
        <v>70</v>
      </c>
      <c r="X16" s="38"/>
      <c r="Y16" s="38"/>
      <c r="Z16" s="38"/>
      <c r="AA16" s="38"/>
      <c r="AB16" s="38"/>
    </row>
    <row r="17" spans="1:28" x14ac:dyDescent="0.25">
      <c r="A17" s="2"/>
      <c r="B17" s="4"/>
      <c r="C17" s="127">
        <f>C16/142</f>
        <v>0</v>
      </c>
      <c r="D17" s="127">
        <f>D16/100</f>
        <v>0</v>
      </c>
      <c r="E17" s="127">
        <f>E16/62</f>
        <v>0</v>
      </c>
      <c r="F17" s="127">
        <f>F16/45</f>
        <v>0</v>
      </c>
      <c r="G17" s="127">
        <f>G16/30</f>
        <v>0</v>
      </c>
      <c r="H17" s="127">
        <f>H16/20</f>
        <v>0</v>
      </c>
      <c r="I17" s="127">
        <f>I16/20</f>
        <v>0</v>
      </c>
      <c r="J17" s="127">
        <f>J16/14</f>
        <v>0</v>
      </c>
      <c r="K17" s="127">
        <f>K16/5</f>
        <v>0</v>
      </c>
      <c r="L17" s="127">
        <f>L16/2.5</f>
        <v>0</v>
      </c>
      <c r="M17" s="4"/>
      <c r="N17" s="85" t="s">
        <v>80</v>
      </c>
      <c r="O17" s="85">
        <v>200</v>
      </c>
      <c r="P17" s="85">
        <v>2.5</v>
      </c>
      <c r="Q17" s="4"/>
      <c r="R17" s="85" t="s">
        <v>80</v>
      </c>
      <c r="S17" s="85">
        <v>200</v>
      </c>
      <c r="T17" s="85">
        <v>5</v>
      </c>
      <c r="U17" s="4"/>
      <c r="V17" s="85">
        <v>300</v>
      </c>
      <c r="W17" s="128">
        <v>100</v>
      </c>
      <c r="X17" s="38"/>
      <c r="Y17" s="38"/>
      <c r="Z17" s="38"/>
      <c r="AA17" s="38"/>
      <c r="AB17" s="38"/>
    </row>
    <row r="18" spans="1:28" x14ac:dyDescent="0.25">
      <c r="A18" s="2"/>
      <c r="B18" s="4"/>
      <c r="C18" s="5"/>
      <c r="D18" s="5"/>
      <c r="E18" s="5"/>
      <c r="F18" s="5"/>
      <c r="G18" s="5"/>
      <c r="H18" s="5"/>
      <c r="I18" s="260" t="s">
        <v>152</v>
      </c>
      <c r="J18" s="260"/>
      <c r="K18" s="260"/>
      <c r="L18" s="122">
        <f>SUM(C17:L17)</f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8"/>
      <c r="Y18" s="38"/>
      <c r="Z18" s="38"/>
      <c r="AA18" s="38"/>
      <c r="AB18" s="38"/>
    </row>
    <row r="19" spans="1:28" ht="15" customHeight="1" x14ac:dyDescent="0.25">
      <c r="A19" s="2"/>
      <c r="B19" s="4"/>
      <c r="C19" s="5"/>
      <c r="D19" s="5"/>
      <c r="E19" s="5"/>
      <c r="F19" s="5"/>
      <c r="G19" s="5"/>
      <c r="H19" s="5"/>
      <c r="I19" s="260" t="s">
        <v>153</v>
      </c>
      <c r="J19" s="260"/>
      <c r="K19" s="260"/>
      <c r="L19" s="122">
        <f>L18/2</f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8"/>
      <c r="Y19" s="38"/>
      <c r="Z19" s="38"/>
      <c r="AA19" s="38"/>
      <c r="AB19" s="38"/>
    </row>
    <row r="20" spans="1:28" x14ac:dyDescent="0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8"/>
      <c r="Y20" s="38"/>
      <c r="Z20" s="38"/>
      <c r="AA20" s="38"/>
      <c r="AB20" s="38"/>
    </row>
    <row r="21" spans="1:28" x14ac:dyDescent="0.2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8"/>
      <c r="Y21" s="38"/>
      <c r="Z21" s="38"/>
      <c r="AA21" s="38"/>
      <c r="AB21" s="38"/>
    </row>
    <row r="22" spans="1:28" ht="15" customHeight="1" x14ac:dyDescent="0.25">
      <c r="A22" s="2"/>
      <c r="B22" s="259" t="s">
        <v>156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41"/>
      <c r="N22" s="4"/>
      <c r="O22" s="4"/>
      <c r="P22" s="4"/>
      <c r="Q22" s="4"/>
      <c r="R22" s="4"/>
      <c r="S22" s="4"/>
      <c r="T22" s="4"/>
      <c r="U22" s="4"/>
      <c r="V22" s="4"/>
      <c r="W22" s="3"/>
      <c r="X22" s="38"/>
      <c r="Y22" s="38"/>
      <c r="Z22" s="38"/>
      <c r="AA22" s="38"/>
      <c r="AB22" s="38"/>
    </row>
    <row r="23" spans="1:28" ht="15.75" thickBot="1" x14ac:dyDescent="0.3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8"/>
      <c r="Y23" s="38"/>
      <c r="Z23" s="38"/>
      <c r="AA23" s="38"/>
      <c r="AB23" s="38"/>
    </row>
    <row r="24" spans="1:28" ht="15.75" thickBot="1" x14ac:dyDescent="0.3">
      <c r="A24" s="2"/>
      <c r="B24" s="129" t="s">
        <v>157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8"/>
      <c r="Y24" s="38"/>
      <c r="Z24" s="38"/>
      <c r="AA24" s="38"/>
      <c r="AB24" s="38"/>
    </row>
    <row r="25" spans="1:28" x14ac:dyDescent="0.2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8"/>
      <c r="Y25" s="38"/>
      <c r="Z25" s="38"/>
      <c r="AA25" s="38"/>
      <c r="AB25" s="38"/>
    </row>
    <row r="26" spans="1:28" ht="15.75" thickBot="1" x14ac:dyDescent="0.3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8"/>
      <c r="X26" s="38"/>
      <c r="Y26" s="38"/>
      <c r="Z26" s="38"/>
      <c r="AA26" s="38"/>
      <c r="AB26" s="38"/>
    </row>
    <row r="27" spans="1:28" x14ac:dyDescent="0.25"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x14ac:dyDescent="0.25"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x14ac:dyDescent="0.25"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x14ac:dyDescent="0.25"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60" ht="15" customHeight="1" x14ac:dyDescent="0.25"/>
  </sheetData>
  <sheetProtection algorithmName="SHA-512" hashValue="qVeTgwIFkQ+4CkI7X8INefH8AiESHMtmrD1OZhG2gSNuWzVNlZmgSX2yOcRYf28lZj63Hw+GOq608K1bwKCGgw==" saltValue="K9WSMNqff5/ZioR5aBZ60w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  <pageSetup paperSize="9" orientation="portrait" horizontalDpi="4294967293" verticalDpi="4294967293" r:id="rId1"/>
    </customSheetView>
  </customSheetViews>
  <mergeCells count="14">
    <mergeCell ref="A1:W1"/>
    <mergeCell ref="B2:W2"/>
    <mergeCell ref="B22:L22"/>
    <mergeCell ref="B4:L4"/>
    <mergeCell ref="I18:K18"/>
    <mergeCell ref="I19:K19"/>
    <mergeCell ref="V4:W4"/>
    <mergeCell ref="V6:W6"/>
    <mergeCell ref="W7:W8"/>
    <mergeCell ref="N7:O7"/>
    <mergeCell ref="N6:P6"/>
    <mergeCell ref="R6:T6"/>
    <mergeCell ref="R7:S7"/>
    <mergeCell ref="N4:T4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sqref="A1:R1"/>
    </sheetView>
  </sheetViews>
  <sheetFormatPr defaultRowHeight="15" x14ac:dyDescent="0.25"/>
  <cols>
    <col min="1" max="1" width="25.7109375" customWidth="1"/>
  </cols>
  <sheetData>
    <row r="1" spans="1:18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ht="34.5" customHeight="1" thickBot="1" x14ac:dyDescent="0.3">
      <c r="A2" s="92" t="s">
        <v>130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/>
    </row>
    <row r="3" spans="1:18" ht="19.5" customHeight="1" thickBot="1" x14ac:dyDescent="0.3">
      <c r="A3" s="2"/>
      <c r="B3" s="4"/>
      <c r="C3" s="253" t="s">
        <v>261</v>
      </c>
      <c r="D3" s="254"/>
      <c r="E3" s="254"/>
      <c r="F3" s="254"/>
      <c r="G3" s="254"/>
      <c r="H3" s="254"/>
      <c r="I3" s="254"/>
      <c r="J3" s="4"/>
      <c r="K3" s="253" t="s">
        <v>262</v>
      </c>
      <c r="L3" s="254"/>
      <c r="M3" s="254"/>
      <c r="N3" s="254"/>
      <c r="O3" s="254"/>
      <c r="P3" s="254"/>
      <c r="Q3" s="254"/>
      <c r="R3" s="255"/>
    </row>
    <row r="4" spans="1:18" x14ac:dyDescent="0.2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x14ac:dyDescent="0.25">
      <c r="A5" s="2"/>
      <c r="B5" s="4"/>
      <c r="C5" s="118" t="s">
        <v>96</v>
      </c>
      <c r="D5" s="260" t="s">
        <v>99</v>
      </c>
      <c r="E5" s="260"/>
      <c r="F5" s="260"/>
      <c r="G5" s="260"/>
      <c r="H5" s="260"/>
      <c r="I5" s="260"/>
      <c r="J5" s="4"/>
      <c r="K5" s="118" t="s">
        <v>96</v>
      </c>
      <c r="L5" s="260" t="s">
        <v>99</v>
      </c>
      <c r="M5" s="260"/>
      <c r="N5" s="260"/>
      <c r="O5" s="260"/>
      <c r="P5" s="260"/>
      <c r="Q5" s="260"/>
      <c r="R5" s="261"/>
    </row>
    <row r="6" spans="1:18" x14ac:dyDescent="0.25">
      <c r="A6" s="2"/>
      <c r="B6" s="4"/>
      <c r="C6" s="118" t="s">
        <v>92</v>
      </c>
      <c r="D6" s="118">
        <v>20</v>
      </c>
      <c r="E6" s="118">
        <v>38</v>
      </c>
      <c r="F6" s="118">
        <v>49</v>
      </c>
      <c r="G6" s="118">
        <v>60</v>
      </c>
      <c r="H6" s="118">
        <v>71</v>
      </c>
      <c r="I6" s="118">
        <v>80</v>
      </c>
      <c r="J6" s="4"/>
      <c r="K6" s="118" t="s">
        <v>4</v>
      </c>
      <c r="L6" s="118">
        <v>0</v>
      </c>
      <c r="M6" s="118">
        <v>10</v>
      </c>
      <c r="N6" s="118">
        <v>20</v>
      </c>
      <c r="O6" s="118">
        <v>30</v>
      </c>
      <c r="P6" s="118">
        <v>40</v>
      </c>
      <c r="Q6" s="118">
        <v>50</v>
      </c>
      <c r="R6" s="132">
        <v>60</v>
      </c>
    </row>
    <row r="7" spans="1:18" x14ac:dyDescent="0.25">
      <c r="A7" s="2"/>
      <c r="B7" s="4"/>
      <c r="C7" s="85" t="s">
        <v>60</v>
      </c>
      <c r="D7" s="85">
        <v>94</v>
      </c>
      <c r="E7" s="85">
        <f>D7-3</f>
        <v>91</v>
      </c>
      <c r="F7" s="85">
        <f t="shared" ref="F7:H7" si="0">E7-3</f>
        <v>88</v>
      </c>
      <c r="G7" s="85">
        <f t="shared" si="0"/>
        <v>85</v>
      </c>
      <c r="H7" s="85">
        <f t="shared" si="0"/>
        <v>82</v>
      </c>
      <c r="I7" s="85">
        <v>80</v>
      </c>
      <c r="J7" s="4"/>
      <c r="K7" s="85">
        <v>20</v>
      </c>
      <c r="L7" s="85">
        <v>75</v>
      </c>
      <c r="M7" s="85">
        <v>70</v>
      </c>
      <c r="N7" s="85">
        <v>65</v>
      </c>
      <c r="O7" s="85">
        <v>60</v>
      </c>
      <c r="P7" s="85">
        <v>55</v>
      </c>
      <c r="Q7" s="85">
        <v>50</v>
      </c>
      <c r="R7" s="128">
        <v>45</v>
      </c>
    </row>
    <row r="8" spans="1:18" x14ac:dyDescent="0.25">
      <c r="A8" s="2"/>
      <c r="B8" s="4"/>
      <c r="C8" s="85" t="s">
        <v>63</v>
      </c>
      <c r="D8" s="85">
        <v>106</v>
      </c>
      <c r="E8" s="85">
        <f>D8-3</f>
        <v>103</v>
      </c>
      <c r="F8" s="85">
        <f>E8-3</f>
        <v>100</v>
      </c>
      <c r="G8" s="85">
        <f t="shared" ref="G8:H8" si="1">F8-3</f>
        <v>97</v>
      </c>
      <c r="H8" s="85">
        <f t="shared" si="1"/>
        <v>94</v>
      </c>
      <c r="I8" s="85">
        <v>90</v>
      </c>
      <c r="J8" s="4"/>
      <c r="K8" s="85">
        <v>25</v>
      </c>
      <c r="L8" s="85">
        <v>85</v>
      </c>
      <c r="M8" s="12">
        <v>80</v>
      </c>
      <c r="N8" s="12">
        <v>70</v>
      </c>
      <c r="O8" s="85">
        <v>65</v>
      </c>
      <c r="P8" s="12">
        <v>60</v>
      </c>
      <c r="Q8" s="85">
        <v>55</v>
      </c>
      <c r="R8" s="13">
        <v>50</v>
      </c>
    </row>
    <row r="9" spans="1:18" x14ac:dyDescent="0.25">
      <c r="A9" s="2"/>
      <c r="B9" s="4"/>
      <c r="C9" s="85" t="s">
        <v>65</v>
      </c>
      <c r="D9" s="85">
        <v>125</v>
      </c>
      <c r="E9" s="85">
        <v>118</v>
      </c>
      <c r="F9" s="85">
        <v>115</v>
      </c>
      <c r="G9" s="85">
        <v>112</v>
      </c>
      <c r="H9" s="85">
        <v>109</v>
      </c>
      <c r="I9" s="85">
        <v>105</v>
      </c>
      <c r="J9" s="4"/>
      <c r="K9" s="12">
        <v>32</v>
      </c>
      <c r="L9" s="12">
        <v>100</v>
      </c>
      <c r="M9" s="12">
        <v>90</v>
      </c>
      <c r="N9" s="12">
        <v>80</v>
      </c>
      <c r="O9" s="12">
        <v>75</v>
      </c>
      <c r="P9" s="12">
        <v>70</v>
      </c>
      <c r="Q9" s="12">
        <v>65</v>
      </c>
      <c r="R9" s="13">
        <v>60</v>
      </c>
    </row>
    <row r="10" spans="1:18" x14ac:dyDescent="0.25">
      <c r="A10" s="2"/>
      <c r="B10" s="4"/>
      <c r="C10" s="19" t="s">
        <v>66</v>
      </c>
      <c r="D10" s="85">
        <v>140</v>
      </c>
      <c r="E10" s="85">
        <f>D10-3</f>
        <v>137</v>
      </c>
      <c r="F10" s="85">
        <f t="shared" ref="F10:H10" si="2">E10-3</f>
        <v>134</v>
      </c>
      <c r="G10" s="85">
        <v>128</v>
      </c>
      <c r="H10" s="85">
        <f t="shared" si="2"/>
        <v>125</v>
      </c>
      <c r="I10" s="85">
        <v>121</v>
      </c>
      <c r="J10" s="4"/>
      <c r="K10" s="85">
        <v>40</v>
      </c>
      <c r="L10" s="12">
        <v>120</v>
      </c>
      <c r="M10" s="12">
        <v>100</v>
      </c>
      <c r="N10" s="12">
        <v>100</v>
      </c>
      <c r="O10" s="12">
        <v>90</v>
      </c>
      <c r="P10" s="12">
        <v>85</v>
      </c>
      <c r="Q10" s="12">
        <v>75</v>
      </c>
      <c r="R10" s="13">
        <v>70</v>
      </c>
    </row>
    <row r="11" spans="1:18" x14ac:dyDescent="0.25">
      <c r="A11" s="2"/>
      <c r="B11" s="4"/>
      <c r="C11" s="85" t="s">
        <v>68</v>
      </c>
      <c r="D11" s="85">
        <v>152</v>
      </c>
      <c r="E11" s="85">
        <v>146</v>
      </c>
      <c r="F11" s="85">
        <f>E11-3</f>
        <v>143</v>
      </c>
      <c r="G11" s="85">
        <f t="shared" ref="G11" si="3">F11-3</f>
        <v>140</v>
      </c>
      <c r="H11" s="85">
        <v>134</v>
      </c>
      <c r="I11" s="85">
        <v>130</v>
      </c>
      <c r="J11" s="4"/>
      <c r="K11" s="85">
        <v>50</v>
      </c>
      <c r="L11" s="12">
        <v>135</v>
      </c>
      <c r="M11" s="12">
        <v>120</v>
      </c>
      <c r="N11" s="12">
        <v>110</v>
      </c>
      <c r="O11" s="12">
        <v>100</v>
      </c>
      <c r="P11" s="12">
        <v>95</v>
      </c>
      <c r="Q11" s="12">
        <v>90</v>
      </c>
      <c r="R11" s="13">
        <v>80</v>
      </c>
    </row>
    <row r="12" spans="1:18" x14ac:dyDescent="0.25">
      <c r="A12" s="2"/>
      <c r="B12" s="4"/>
      <c r="C12" s="85" t="s">
        <v>69</v>
      </c>
      <c r="D12" s="85">
        <v>170</v>
      </c>
      <c r="E12" s="85">
        <v>167</v>
      </c>
      <c r="F12" s="85">
        <v>161</v>
      </c>
      <c r="G12" s="85">
        <v>158</v>
      </c>
      <c r="H12" s="85">
        <v>152</v>
      </c>
      <c r="I12" s="85">
        <v>148</v>
      </c>
      <c r="J12" s="4"/>
      <c r="K12" s="12">
        <v>63</v>
      </c>
      <c r="L12" s="12">
        <v>160</v>
      </c>
      <c r="M12" s="12">
        <v>140</v>
      </c>
      <c r="N12" s="12">
        <v>130</v>
      </c>
      <c r="O12" s="12">
        <v>120</v>
      </c>
      <c r="P12" s="12">
        <v>110</v>
      </c>
      <c r="Q12" s="12">
        <v>100</v>
      </c>
      <c r="R12" s="13">
        <v>95</v>
      </c>
    </row>
    <row r="13" spans="1:18" x14ac:dyDescent="0.25">
      <c r="A13" s="2"/>
      <c r="B13" s="4"/>
      <c r="C13" s="19" t="s">
        <v>71</v>
      </c>
      <c r="D13" s="85">
        <v>198</v>
      </c>
      <c r="E13" s="85">
        <v>192</v>
      </c>
      <c r="F13" s="85">
        <v>185</v>
      </c>
      <c r="G13" s="85">
        <v>179</v>
      </c>
      <c r="H13" s="85">
        <v>173</v>
      </c>
      <c r="I13" s="85">
        <v>168</v>
      </c>
      <c r="J13" s="4"/>
      <c r="K13" s="12">
        <v>75</v>
      </c>
      <c r="L13" s="12">
        <v>180</v>
      </c>
      <c r="M13" s="12">
        <v>160</v>
      </c>
      <c r="N13" s="12">
        <v>150</v>
      </c>
      <c r="O13" s="12">
        <v>130</v>
      </c>
      <c r="P13" s="12">
        <v>125</v>
      </c>
      <c r="Q13" s="12">
        <v>115</v>
      </c>
      <c r="R13" s="13">
        <v>100</v>
      </c>
    </row>
    <row r="14" spans="1:18" x14ac:dyDescent="0.25">
      <c r="A14" s="2"/>
      <c r="B14" s="4"/>
      <c r="C14" s="85" t="s">
        <v>73</v>
      </c>
      <c r="D14" s="85">
        <v>219</v>
      </c>
      <c r="E14" s="85">
        <v>213</v>
      </c>
      <c r="F14" s="85">
        <v>207</v>
      </c>
      <c r="G14" s="85">
        <v>201</v>
      </c>
      <c r="H14" s="85">
        <v>195</v>
      </c>
      <c r="I14" s="85">
        <v>187</v>
      </c>
      <c r="J14" s="4"/>
      <c r="K14" s="12">
        <v>90</v>
      </c>
      <c r="L14" s="12">
        <v>200</v>
      </c>
      <c r="M14" s="12">
        <v>180</v>
      </c>
      <c r="N14" s="12">
        <v>165</v>
      </c>
      <c r="O14" s="12">
        <v>150</v>
      </c>
      <c r="P14" s="12">
        <v>140</v>
      </c>
      <c r="Q14" s="12">
        <v>130</v>
      </c>
      <c r="R14" s="13">
        <v>120</v>
      </c>
    </row>
    <row r="15" spans="1:18" x14ac:dyDescent="0.25">
      <c r="A15" s="2"/>
      <c r="B15" s="4"/>
      <c r="C15" s="85" t="s">
        <v>75</v>
      </c>
      <c r="D15" s="85">
        <v>253</v>
      </c>
      <c r="E15" s="85">
        <v>246</v>
      </c>
      <c r="F15" s="85">
        <v>237</v>
      </c>
      <c r="G15" s="85">
        <v>231</v>
      </c>
      <c r="H15" s="85">
        <v>225</v>
      </c>
      <c r="I15" s="85">
        <v>215</v>
      </c>
      <c r="J15" s="4"/>
      <c r="K15" s="4"/>
      <c r="L15" s="4"/>
      <c r="M15" s="4"/>
      <c r="N15" s="4"/>
      <c r="O15" s="4"/>
      <c r="P15" s="4"/>
      <c r="Q15" s="4"/>
      <c r="R15" s="3"/>
    </row>
    <row r="16" spans="1:18" x14ac:dyDescent="0.25">
      <c r="A16" s="2"/>
      <c r="B16" s="4"/>
      <c r="C16" s="85" t="s">
        <v>78</v>
      </c>
      <c r="D16" s="85">
        <v>317</v>
      </c>
      <c r="E16" s="85">
        <v>307</v>
      </c>
      <c r="F16" s="85">
        <v>298</v>
      </c>
      <c r="G16" s="85">
        <v>289</v>
      </c>
      <c r="H16" s="85">
        <v>280</v>
      </c>
      <c r="I16" s="85">
        <v>273</v>
      </c>
      <c r="J16" s="4"/>
      <c r="K16" s="4"/>
      <c r="L16" s="4"/>
      <c r="M16" s="4"/>
      <c r="N16" s="4"/>
      <c r="O16" s="4"/>
      <c r="P16" s="4"/>
      <c r="Q16" s="4"/>
      <c r="R16" s="3"/>
    </row>
    <row r="17" spans="1:18" x14ac:dyDescent="0.2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18" ht="15.75" thickBot="1" x14ac:dyDescent="0.3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8"/>
    </row>
  </sheetData>
  <sheetProtection algorithmName="SHA-512" hashValue="3fh9fGKDzhZVaV4/CSW6wHfBGd7H/4fn1psDxyGECzmtfXhFKgxQib32qvZphiIyE0nXqCbRr5KziiR+KmTf+g==" saltValue="Cc6JCInk37w+i35qdr879A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</customSheetView>
  </customSheetViews>
  <mergeCells count="6">
    <mergeCell ref="L5:R5"/>
    <mergeCell ref="K3:R3"/>
    <mergeCell ref="D5:I5"/>
    <mergeCell ref="C3:I3"/>
    <mergeCell ref="A1:R1"/>
    <mergeCell ref="B2:R2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77" zoomScaleNormal="77" workbookViewId="0">
      <selection activeCell="H8" sqref="H8"/>
    </sheetView>
  </sheetViews>
  <sheetFormatPr defaultRowHeight="15" x14ac:dyDescent="0.25"/>
  <cols>
    <col min="1" max="1" width="25.7109375" customWidth="1"/>
    <col min="4" max="5" width="12.28515625" customWidth="1"/>
    <col min="6" max="6" width="14.7109375" style="1" customWidth="1"/>
    <col min="9" max="9" width="9.140625" style="1"/>
    <col min="11" max="11" width="12.28515625" bestFit="1" customWidth="1"/>
    <col min="12" max="12" width="9.5703125" bestFit="1" customWidth="1"/>
    <col min="13" max="13" width="10" bestFit="1" customWidth="1"/>
    <col min="14" max="14" width="12.7109375" style="1" bestFit="1" customWidth="1"/>
    <col min="15" max="15" width="19.42578125" style="1" customWidth="1"/>
    <col min="16" max="16" width="12.28515625" bestFit="1" customWidth="1"/>
    <col min="17" max="17" width="9.5703125" bestFit="1" customWidth="1"/>
    <col min="18" max="18" width="10" bestFit="1" customWidth="1"/>
  </cols>
  <sheetData>
    <row r="1" spans="1:18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ht="36.75" customHeight="1" thickBot="1" x14ac:dyDescent="0.3">
      <c r="A2" s="92" t="s">
        <v>130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/>
    </row>
    <row r="3" spans="1:18" ht="19.5" thickBot="1" x14ac:dyDescent="0.3">
      <c r="A3" s="2"/>
      <c r="B3" s="4"/>
      <c r="C3" s="253" t="s">
        <v>49</v>
      </c>
      <c r="D3" s="254"/>
      <c r="E3" s="254"/>
      <c r="F3" s="254"/>
      <c r="G3" s="4"/>
      <c r="H3" s="4"/>
      <c r="I3" s="253" t="s">
        <v>49</v>
      </c>
      <c r="J3" s="254"/>
      <c r="K3" s="237" t="s">
        <v>50</v>
      </c>
      <c r="L3" s="237"/>
      <c r="M3" s="237"/>
      <c r="N3" s="5"/>
      <c r="O3" s="5"/>
      <c r="P3" s="265" t="s">
        <v>51</v>
      </c>
      <c r="Q3" s="265"/>
      <c r="R3" s="266"/>
    </row>
    <row r="4" spans="1:18" x14ac:dyDescent="0.25">
      <c r="A4" s="2"/>
      <c r="B4" s="4"/>
      <c r="C4" s="18"/>
      <c r="D4" s="18" t="s">
        <v>52</v>
      </c>
      <c r="E4" s="18" t="s">
        <v>53</v>
      </c>
      <c r="F4" s="85" t="s">
        <v>54</v>
      </c>
      <c r="G4" s="4"/>
      <c r="H4" s="4"/>
      <c r="I4" s="85" t="s">
        <v>55</v>
      </c>
      <c r="J4" s="85" t="s">
        <v>56</v>
      </c>
      <c r="K4" s="85" t="s">
        <v>57</v>
      </c>
      <c r="L4" s="85" t="s">
        <v>58</v>
      </c>
      <c r="M4" s="85" t="s">
        <v>59</v>
      </c>
      <c r="N4" s="18" t="s">
        <v>53</v>
      </c>
      <c r="O4" s="85" t="s">
        <v>54</v>
      </c>
      <c r="P4" s="85" t="s">
        <v>57</v>
      </c>
      <c r="Q4" s="85" t="s">
        <v>58</v>
      </c>
      <c r="R4" s="128" t="s">
        <v>59</v>
      </c>
    </row>
    <row r="5" spans="1:18" x14ac:dyDescent="0.25">
      <c r="A5" s="2"/>
      <c r="B5" s="4"/>
      <c r="C5" s="85" t="s">
        <v>60</v>
      </c>
      <c r="D5" s="267">
        <v>4</v>
      </c>
      <c r="E5" s="267" t="s">
        <v>61</v>
      </c>
      <c r="F5" s="85" t="s">
        <v>62</v>
      </c>
      <c r="G5" s="4"/>
      <c r="H5" s="4"/>
      <c r="I5" s="37">
        <v>0</v>
      </c>
      <c r="J5" s="85" t="s">
        <v>60</v>
      </c>
      <c r="K5" s="268">
        <v>4</v>
      </c>
      <c r="L5" s="268">
        <v>4</v>
      </c>
      <c r="M5" s="268">
        <v>8</v>
      </c>
      <c r="N5" s="267" t="s">
        <v>61</v>
      </c>
      <c r="O5" s="85" t="s">
        <v>62</v>
      </c>
      <c r="P5" s="85">
        <f t="shared" ref="P5:P16" si="0">I5*K5</f>
        <v>0</v>
      </c>
      <c r="Q5" s="85">
        <f t="shared" ref="Q5:Q16" si="1">I5*L5</f>
        <v>0</v>
      </c>
      <c r="R5" s="128">
        <f t="shared" ref="R5:R16" si="2">I5*M5</f>
        <v>0</v>
      </c>
    </row>
    <row r="6" spans="1:18" x14ac:dyDescent="0.25">
      <c r="A6" s="2"/>
      <c r="B6" s="4"/>
      <c r="C6" s="85" t="s">
        <v>63</v>
      </c>
      <c r="D6" s="267"/>
      <c r="E6" s="267"/>
      <c r="F6" s="85" t="s">
        <v>64</v>
      </c>
      <c r="G6" s="4"/>
      <c r="H6" s="4"/>
      <c r="I6" s="37">
        <v>0</v>
      </c>
      <c r="J6" s="85" t="s">
        <v>63</v>
      </c>
      <c r="K6" s="269">
        <v>4</v>
      </c>
      <c r="L6" s="269">
        <v>4</v>
      </c>
      <c r="M6" s="269">
        <v>8</v>
      </c>
      <c r="N6" s="267"/>
      <c r="O6" s="268" t="s">
        <v>64</v>
      </c>
      <c r="P6" s="85">
        <f t="shared" si="0"/>
        <v>0</v>
      </c>
      <c r="Q6" s="85">
        <f t="shared" si="1"/>
        <v>0</v>
      </c>
      <c r="R6" s="128">
        <f t="shared" si="2"/>
        <v>0</v>
      </c>
    </row>
    <row r="7" spans="1:18" x14ac:dyDescent="0.25">
      <c r="A7" s="2"/>
      <c r="B7" s="4"/>
      <c r="C7" s="85" t="s">
        <v>65</v>
      </c>
      <c r="D7" s="267"/>
      <c r="E7" s="267"/>
      <c r="F7" s="85" t="s">
        <v>64</v>
      </c>
      <c r="G7" s="4"/>
      <c r="H7" s="4"/>
      <c r="I7" s="37">
        <v>0</v>
      </c>
      <c r="J7" s="85" t="s">
        <v>65</v>
      </c>
      <c r="K7" s="269">
        <v>4</v>
      </c>
      <c r="L7" s="269">
        <v>4</v>
      </c>
      <c r="M7" s="269">
        <v>8</v>
      </c>
      <c r="N7" s="267"/>
      <c r="O7" s="270" t="s">
        <v>64</v>
      </c>
      <c r="P7" s="85">
        <f t="shared" si="0"/>
        <v>0</v>
      </c>
      <c r="Q7" s="85">
        <f t="shared" si="1"/>
        <v>0</v>
      </c>
      <c r="R7" s="128">
        <f t="shared" si="2"/>
        <v>0</v>
      </c>
    </row>
    <row r="8" spans="1:18" x14ac:dyDescent="0.25">
      <c r="A8" s="2"/>
      <c r="B8" s="4"/>
      <c r="C8" s="85" t="s">
        <v>66</v>
      </c>
      <c r="D8" s="267"/>
      <c r="E8" s="267"/>
      <c r="F8" s="85" t="s">
        <v>67</v>
      </c>
      <c r="G8" s="4"/>
      <c r="H8" s="4"/>
      <c r="I8" s="37">
        <v>0</v>
      </c>
      <c r="J8" s="85" t="s">
        <v>66</v>
      </c>
      <c r="K8" s="269">
        <v>4</v>
      </c>
      <c r="L8" s="269">
        <v>4</v>
      </c>
      <c r="M8" s="269">
        <v>8</v>
      </c>
      <c r="N8" s="267"/>
      <c r="O8" s="268" t="s">
        <v>67</v>
      </c>
      <c r="P8" s="85">
        <f t="shared" si="0"/>
        <v>0</v>
      </c>
      <c r="Q8" s="85">
        <f t="shared" si="1"/>
        <v>0</v>
      </c>
      <c r="R8" s="128">
        <f t="shared" si="2"/>
        <v>0</v>
      </c>
    </row>
    <row r="9" spans="1:18" x14ac:dyDescent="0.25">
      <c r="A9" s="2"/>
      <c r="B9" s="4"/>
      <c r="C9" s="85" t="s">
        <v>68</v>
      </c>
      <c r="D9" s="267"/>
      <c r="E9" s="267"/>
      <c r="F9" s="85" t="s">
        <v>67</v>
      </c>
      <c r="G9" s="4"/>
      <c r="H9" s="4"/>
      <c r="I9" s="37">
        <v>0</v>
      </c>
      <c r="J9" s="85" t="s">
        <v>68</v>
      </c>
      <c r="K9" s="269">
        <v>4</v>
      </c>
      <c r="L9" s="269">
        <v>4</v>
      </c>
      <c r="M9" s="269">
        <v>8</v>
      </c>
      <c r="N9" s="267"/>
      <c r="O9" s="270" t="s">
        <v>67</v>
      </c>
      <c r="P9" s="85">
        <f t="shared" si="0"/>
        <v>0</v>
      </c>
      <c r="Q9" s="85">
        <f t="shared" si="1"/>
        <v>0</v>
      </c>
      <c r="R9" s="128">
        <f t="shared" si="2"/>
        <v>0</v>
      </c>
    </row>
    <row r="10" spans="1:18" x14ac:dyDescent="0.25">
      <c r="A10" s="2"/>
      <c r="B10" s="4"/>
      <c r="C10" s="85" t="s">
        <v>69</v>
      </c>
      <c r="D10" s="267"/>
      <c r="E10" s="267" t="s">
        <v>63</v>
      </c>
      <c r="F10" s="85" t="s">
        <v>70</v>
      </c>
      <c r="G10" s="4"/>
      <c r="H10" s="4"/>
      <c r="I10" s="37">
        <v>0</v>
      </c>
      <c r="J10" s="85" t="s">
        <v>69</v>
      </c>
      <c r="K10" s="269">
        <v>4</v>
      </c>
      <c r="L10" s="269">
        <v>4</v>
      </c>
      <c r="M10" s="269">
        <v>8</v>
      </c>
      <c r="N10" s="267" t="s">
        <v>63</v>
      </c>
      <c r="O10" s="85" t="s">
        <v>70</v>
      </c>
      <c r="P10" s="85">
        <f t="shared" si="0"/>
        <v>0</v>
      </c>
      <c r="Q10" s="85">
        <f t="shared" si="1"/>
        <v>0</v>
      </c>
      <c r="R10" s="128">
        <f t="shared" si="2"/>
        <v>0</v>
      </c>
    </row>
    <row r="11" spans="1:18" x14ac:dyDescent="0.25">
      <c r="A11" s="2"/>
      <c r="B11" s="4"/>
      <c r="C11" s="85" t="s">
        <v>71</v>
      </c>
      <c r="D11" s="267"/>
      <c r="E11" s="267"/>
      <c r="F11" s="85" t="s">
        <v>72</v>
      </c>
      <c r="G11" s="4"/>
      <c r="H11" s="4"/>
      <c r="I11" s="37"/>
      <c r="J11" s="85" t="s">
        <v>71</v>
      </c>
      <c r="K11" s="269">
        <v>4</v>
      </c>
      <c r="L11" s="269">
        <v>4</v>
      </c>
      <c r="M11" s="269">
        <v>8</v>
      </c>
      <c r="N11" s="267"/>
      <c r="O11" s="85" t="s">
        <v>72</v>
      </c>
      <c r="P11" s="85">
        <f t="shared" si="0"/>
        <v>0</v>
      </c>
      <c r="Q11" s="85">
        <f t="shared" si="1"/>
        <v>0</v>
      </c>
      <c r="R11" s="128">
        <f t="shared" si="2"/>
        <v>0</v>
      </c>
    </row>
    <row r="12" spans="1:18" x14ac:dyDescent="0.25">
      <c r="A12" s="2"/>
      <c r="B12" s="4"/>
      <c r="C12" s="85" t="s">
        <v>73</v>
      </c>
      <c r="D12" s="267"/>
      <c r="E12" s="267"/>
      <c r="F12" s="85" t="s">
        <v>74</v>
      </c>
      <c r="G12" s="4"/>
      <c r="H12" s="4"/>
      <c r="I12" s="37">
        <v>0</v>
      </c>
      <c r="J12" s="85" t="s">
        <v>73</v>
      </c>
      <c r="K12" s="270">
        <v>4</v>
      </c>
      <c r="L12" s="270">
        <v>4</v>
      </c>
      <c r="M12" s="270">
        <v>8</v>
      </c>
      <c r="N12" s="267"/>
      <c r="O12" s="268" t="s">
        <v>74</v>
      </c>
      <c r="P12" s="85">
        <f t="shared" si="0"/>
        <v>0</v>
      </c>
      <c r="Q12" s="85">
        <f t="shared" si="1"/>
        <v>0</v>
      </c>
      <c r="R12" s="128">
        <f t="shared" si="2"/>
        <v>0</v>
      </c>
    </row>
    <row r="13" spans="1:18" x14ac:dyDescent="0.25">
      <c r="A13" s="2"/>
      <c r="B13" s="4"/>
      <c r="C13" s="85" t="s">
        <v>75</v>
      </c>
      <c r="D13" s="267">
        <v>8</v>
      </c>
      <c r="E13" s="267"/>
      <c r="F13" s="85" t="s">
        <v>74</v>
      </c>
      <c r="G13" s="4"/>
      <c r="H13" s="4"/>
      <c r="I13" s="37">
        <v>0</v>
      </c>
      <c r="J13" s="85" t="s">
        <v>75</v>
      </c>
      <c r="K13" s="268">
        <v>8</v>
      </c>
      <c r="L13" s="268">
        <v>8</v>
      </c>
      <c r="M13" s="268">
        <v>16</v>
      </c>
      <c r="N13" s="267"/>
      <c r="O13" s="270"/>
      <c r="P13" s="85">
        <f t="shared" si="0"/>
        <v>0</v>
      </c>
      <c r="Q13" s="85">
        <f t="shared" si="1"/>
        <v>0</v>
      </c>
      <c r="R13" s="128">
        <f t="shared" si="2"/>
        <v>0</v>
      </c>
    </row>
    <row r="14" spans="1:18" x14ac:dyDescent="0.25">
      <c r="A14" s="2"/>
      <c r="B14" s="4"/>
      <c r="C14" s="85" t="s">
        <v>76</v>
      </c>
      <c r="D14" s="267"/>
      <c r="E14" s="267" t="s">
        <v>77</v>
      </c>
      <c r="F14" s="85" t="s">
        <v>74</v>
      </c>
      <c r="G14" s="4"/>
      <c r="H14" s="4"/>
      <c r="I14" s="37">
        <v>0</v>
      </c>
      <c r="J14" s="85" t="s">
        <v>76</v>
      </c>
      <c r="K14" s="269">
        <v>8</v>
      </c>
      <c r="L14" s="269">
        <v>8</v>
      </c>
      <c r="M14" s="269">
        <v>16</v>
      </c>
      <c r="N14" s="267" t="s">
        <v>77</v>
      </c>
      <c r="O14" s="85" t="s">
        <v>74</v>
      </c>
      <c r="P14" s="85">
        <f t="shared" si="0"/>
        <v>0</v>
      </c>
      <c r="Q14" s="85">
        <f t="shared" si="1"/>
        <v>0</v>
      </c>
      <c r="R14" s="128">
        <f t="shared" si="2"/>
        <v>0</v>
      </c>
    </row>
    <row r="15" spans="1:18" x14ac:dyDescent="0.25">
      <c r="A15" s="2"/>
      <c r="B15" s="4"/>
      <c r="C15" s="85" t="s">
        <v>78</v>
      </c>
      <c r="D15" s="267"/>
      <c r="E15" s="267"/>
      <c r="F15" s="85" t="s">
        <v>79</v>
      </c>
      <c r="G15" s="4"/>
      <c r="H15" s="4"/>
      <c r="I15" s="37">
        <v>0</v>
      </c>
      <c r="J15" s="85" t="s">
        <v>78</v>
      </c>
      <c r="K15" s="269">
        <v>8</v>
      </c>
      <c r="L15" s="269">
        <v>8</v>
      </c>
      <c r="M15" s="269">
        <v>16</v>
      </c>
      <c r="N15" s="267"/>
      <c r="O15" s="85" t="s">
        <v>79</v>
      </c>
      <c r="P15" s="85">
        <f t="shared" si="0"/>
        <v>0</v>
      </c>
      <c r="Q15" s="85">
        <f t="shared" si="1"/>
        <v>0</v>
      </c>
      <c r="R15" s="128">
        <f t="shared" si="2"/>
        <v>0</v>
      </c>
    </row>
    <row r="16" spans="1:18" x14ac:dyDescent="0.25">
      <c r="A16" s="2"/>
      <c r="B16" s="4"/>
      <c r="C16" s="85" t="s">
        <v>80</v>
      </c>
      <c r="D16" s="267"/>
      <c r="E16" s="267"/>
      <c r="F16" s="85" t="s">
        <v>81</v>
      </c>
      <c r="G16" s="4"/>
      <c r="H16" s="4"/>
      <c r="I16" s="37">
        <v>0</v>
      </c>
      <c r="J16" s="85" t="s">
        <v>80</v>
      </c>
      <c r="K16" s="270">
        <v>8</v>
      </c>
      <c r="L16" s="270">
        <v>8</v>
      </c>
      <c r="M16" s="270">
        <v>16</v>
      </c>
      <c r="N16" s="267"/>
      <c r="O16" s="85" t="s">
        <v>81</v>
      </c>
      <c r="P16" s="85">
        <f t="shared" si="0"/>
        <v>0</v>
      </c>
      <c r="Q16" s="85">
        <f t="shared" si="1"/>
        <v>0</v>
      </c>
      <c r="R16" s="128">
        <f t="shared" si="2"/>
        <v>0</v>
      </c>
    </row>
    <row r="17" spans="1:18" x14ac:dyDescent="0.25">
      <c r="A17" s="2"/>
      <c r="B17" s="4"/>
      <c r="C17" s="4"/>
      <c r="D17" s="4"/>
      <c r="E17" s="4"/>
      <c r="F17" s="5"/>
      <c r="G17" s="4"/>
      <c r="H17" s="4"/>
      <c r="I17" s="5"/>
      <c r="J17" s="4"/>
      <c r="K17" s="4"/>
      <c r="L17" s="4"/>
      <c r="M17" s="4"/>
      <c r="N17" s="5"/>
      <c r="O17" s="5"/>
      <c r="P17" s="5"/>
      <c r="Q17" s="5"/>
      <c r="R17" s="97"/>
    </row>
    <row r="18" spans="1:18" ht="15.75" thickBot="1" x14ac:dyDescent="0.3">
      <c r="A18" s="2"/>
      <c r="B18" s="4"/>
      <c r="C18" s="4"/>
      <c r="D18" s="4"/>
      <c r="E18" s="4"/>
      <c r="F18" s="5"/>
      <c r="G18" s="4"/>
      <c r="H18" s="4"/>
      <c r="I18" s="5"/>
      <c r="J18" s="4"/>
      <c r="K18" s="4"/>
      <c r="L18" s="4"/>
      <c r="M18" s="4"/>
      <c r="N18" s="5"/>
      <c r="O18" s="5"/>
      <c r="P18" s="5"/>
      <c r="Q18" s="5"/>
      <c r="R18" s="97"/>
    </row>
    <row r="19" spans="1:18" ht="19.5" customHeight="1" thickBot="1" x14ac:dyDescent="0.3">
      <c r="A19" s="2"/>
      <c r="B19" s="4"/>
      <c r="C19" s="253" t="s">
        <v>82</v>
      </c>
      <c r="D19" s="254"/>
      <c r="E19" s="254"/>
      <c r="F19" s="254"/>
      <c r="G19" s="4"/>
      <c r="H19" s="4"/>
      <c r="I19" s="253" t="s">
        <v>82</v>
      </c>
      <c r="J19" s="254"/>
      <c r="K19" s="237" t="s">
        <v>50</v>
      </c>
      <c r="L19" s="237"/>
      <c r="M19" s="237"/>
      <c r="N19" s="5"/>
      <c r="O19" s="5"/>
      <c r="P19" s="265" t="s">
        <v>51</v>
      </c>
      <c r="Q19" s="265"/>
      <c r="R19" s="266"/>
    </row>
    <row r="20" spans="1:18" x14ac:dyDescent="0.25">
      <c r="A20" s="2"/>
      <c r="B20" s="4"/>
      <c r="C20" s="18"/>
      <c r="D20" s="18" t="s">
        <v>52</v>
      </c>
      <c r="E20" s="18" t="s">
        <v>53</v>
      </c>
      <c r="F20" s="85" t="s">
        <v>54</v>
      </c>
      <c r="G20" s="4"/>
      <c r="H20" s="4"/>
      <c r="I20" s="85" t="s">
        <v>55</v>
      </c>
      <c r="J20" s="85" t="s">
        <v>56</v>
      </c>
      <c r="K20" s="85" t="s">
        <v>57</v>
      </c>
      <c r="L20" s="85" t="s">
        <v>58</v>
      </c>
      <c r="M20" s="85" t="s">
        <v>59</v>
      </c>
      <c r="N20" s="18" t="s">
        <v>53</v>
      </c>
      <c r="O20" s="85" t="s">
        <v>54</v>
      </c>
      <c r="P20" s="85" t="s">
        <v>57</v>
      </c>
      <c r="Q20" s="85" t="s">
        <v>58</v>
      </c>
      <c r="R20" s="128" t="s">
        <v>59</v>
      </c>
    </row>
    <row r="21" spans="1:18" x14ac:dyDescent="0.25">
      <c r="A21" s="2"/>
      <c r="B21" s="4"/>
      <c r="C21" s="85" t="s">
        <v>60</v>
      </c>
      <c r="D21" s="267">
        <v>4</v>
      </c>
      <c r="E21" s="85" t="s">
        <v>61</v>
      </c>
      <c r="F21" s="85" t="s">
        <v>83</v>
      </c>
      <c r="G21" s="4"/>
      <c r="H21" s="4"/>
      <c r="I21" s="37">
        <v>0</v>
      </c>
      <c r="J21" s="85" t="s">
        <v>60</v>
      </c>
      <c r="K21" s="268">
        <v>4</v>
      </c>
      <c r="L21" s="268">
        <v>4</v>
      </c>
      <c r="M21" s="268">
        <v>8</v>
      </c>
      <c r="N21" s="85" t="s">
        <v>61</v>
      </c>
      <c r="O21" s="85" t="s">
        <v>83</v>
      </c>
      <c r="P21" s="85">
        <f t="shared" ref="P21:P32" si="3">I21*K21</f>
        <v>0</v>
      </c>
      <c r="Q21" s="85">
        <f t="shared" ref="Q21:Q32" si="4">I21*L21</f>
        <v>0</v>
      </c>
      <c r="R21" s="128">
        <f t="shared" ref="R21:R32" si="5">I21*M21</f>
        <v>0</v>
      </c>
    </row>
    <row r="22" spans="1:18" x14ac:dyDescent="0.25">
      <c r="A22" s="2"/>
      <c r="B22" s="4"/>
      <c r="C22" s="85" t="s">
        <v>63</v>
      </c>
      <c r="D22" s="267"/>
      <c r="E22" s="267" t="s">
        <v>63</v>
      </c>
      <c r="F22" s="85" t="s">
        <v>84</v>
      </c>
      <c r="G22" s="4"/>
      <c r="H22" s="4"/>
      <c r="I22" s="37">
        <v>0</v>
      </c>
      <c r="J22" s="85" t="s">
        <v>63</v>
      </c>
      <c r="K22" s="269">
        <v>4</v>
      </c>
      <c r="L22" s="269">
        <v>4</v>
      </c>
      <c r="M22" s="269">
        <v>8</v>
      </c>
      <c r="N22" s="267" t="s">
        <v>63</v>
      </c>
      <c r="O22" s="85" t="s">
        <v>84</v>
      </c>
      <c r="P22" s="85">
        <f t="shared" si="3"/>
        <v>0</v>
      </c>
      <c r="Q22" s="85">
        <f t="shared" si="4"/>
        <v>0</v>
      </c>
      <c r="R22" s="128">
        <f t="shared" si="5"/>
        <v>0</v>
      </c>
    </row>
    <row r="23" spans="1:18" x14ac:dyDescent="0.25">
      <c r="A23" s="2"/>
      <c r="B23" s="4"/>
      <c r="C23" s="85" t="s">
        <v>65</v>
      </c>
      <c r="D23" s="267"/>
      <c r="E23" s="267"/>
      <c r="F23" s="267" t="s">
        <v>70</v>
      </c>
      <c r="G23" s="4"/>
      <c r="H23" s="4"/>
      <c r="I23" s="37">
        <v>0</v>
      </c>
      <c r="J23" s="85" t="s">
        <v>65</v>
      </c>
      <c r="K23" s="269">
        <v>4</v>
      </c>
      <c r="L23" s="269">
        <v>4</v>
      </c>
      <c r="M23" s="269">
        <v>8</v>
      </c>
      <c r="N23" s="267"/>
      <c r="O23" s="267" t="s">
        <v>70</v>
      </c>
      <c r="P23" s="85">
        <f t="shared" si="3"/>
        <v>0</v>
      </c>
      <c r="Q23" s="85">
        <f t="shared" si="4"/>
        <v>0</v>
      </c>
      <c r="R23" s="128">
        <f t="shared" si="5"/>
        <v>0</v>
      </c>
    </row>
    <row r="24" spans="1:18" x14ac:dyDescent="0.25">
      <c r="A24" s="2"/>
      <c r="B24" s="4"/>
      <c r="C24" s="85" t="s">
        <v>66</v>
      </c>
      <c r="D24" s="267"/>
      <c r="E24" s="267"/>
      <c r="F24" s="267"/>
      <c r="G24" s="4"/>
      <c r="H24" s="4"/>
      <c r="I24" s="37">
        <v>0</v>
      </c>
      <c r="J24" s="85" t="s">
        <v>66</v>
      </c>
      <c r="K24" s="269">
        <v>4</v>
      </c>
      <c r="L24" s="269">
        <v>4</v>
      </c>
      <c r="M24" s="269">
        <v>8</v>
      </c>
      <c r="N24" s="267"/>
      <c r="O24" s="267"/>
      <c r="P24" s="85">
        <f t="shared" si="3"/>
        <v>0</v>
      </c>
      <c r="Q24" s="85">
        <f t="shared" si="4"/>
        <v>0</v>
      </c>
      <c r="R24" s="128">
        <f t="shared" si="5"/>
        <v>0</v>
      </c>
    </row>
    <row r="25" spans="1:18" x14ac:dyDescent="0.25">
      <c r="A25" s="2"/>
      <c r="B25" s="4"/>
      <c r="C25" s="85" t="s">
        <v>68</v>
      </c>
      <c r="D25" s="267"/>
      <c r="E25" s="267"/>
      <c r="F25" s="86" t="s">
        <v>85</v>
      </c>
      <c r="G25" s="4"/>
      <c r="H25" s="4"/>
      <c r="I25" s="37">
        <v>0</v>
      </c>
      <c r="J25" s="85" t="s">
        <v>68</v>
      </c>
      <c r="K25" s="270">
        <v>4</v>
      </c>
      <c r="L25" s="270">
        <v>4</v>
      </c>
      <c r="M25" s="270">
        <v>8</v>
      </c>
      <c r="N25" s="267"/>
      <c r="O25" s="86" t="s">
        <v>85</v>
      </c>
      <c r="P25" s="85">
        <f t="shared" si="3"/>
        <v>0</v>
      </c>
      <c r="Q25" s="85">
        <f t="shared" si="4"/>
        <v>0</v>
      </c>
      <c r="R25" s="128">
        <f t="shared" si="5"/>
        <v>0</v>
      </c>
    </row>
    <row r="26" spans="1:18" x14ac:dyDescent="0.25">
      <c r="A26" s="2"/>
      <c r="B26" s="4"/>
      <c r="C26" s="85" t="s">
        <v>69</v>
      </c>
      <c r="D26" s="267">
        <v>8</v>
      </c>
      <c r="E26" s="267" t="s">
        <v>77</v>
      </c>
      <c r="F26" s="86" t="s">
        <v>72</v>
      </c>
      <c r="G26" s="4"/>
      <c r="H26" s="4"/>
      <c r="I26" s="37">
        <v>0</v>
      </c>
      <c r="J26" s="85" t="s">
        <v>69</v>
      </c>
      <c r="K26" s="268">
        <v>8</v>
      </c>
      <c r="L26" s="268">
        <v>8</v>
      </c>
      <c r="M26" s="268">
        <v>16</v>
      </c>
      <c r="N26" s="267" t="s">
        <v>77</v>
      </c>
      <c r="O26" s="86" t="s">
        <v>72</v>
      </c>
      <c r="P26" s="85">
        <f t="shared" si="3"/>
        <v>0</v>
      </c>
      <c r="Q26" s="85">
        <f t="shared" si="4"/>
        <v>0</v>
      </c>
      <c r="R26" s="128">
        <f t="shared" si="5"/>
        <v>0</v>
      </c>
    </row>
    <row r="27" spans="1:18" x14ac:dyDescent="0.25">
      <c r="A27" s="2"/>
      <c r="B27" s="4"/>
      <c r="C27" s="85" t="s">
        <v>71</v>
      </c>
      <c r="D27" s="267"/>
      <c r="E27" s="267"/>
      <c r="F27" s="85" t="s">
        <v>86</v>
      </c>
      <c r="G27" s="4"/>
      <c r="H27" s="4"/>
      <c r="I27" s="37">
        <v>0</v>
      </c>
      <c r="J27" s="85" t="s">
        <v>71</v>
      </c>
      <c r="K27" s="269">
        <v>8</v>
      </c>
      <c r="L27" s="269">
        <v>8</v>
      </c>
      <c r="M27" s="269">
        <v>16</v>
      </c>
      <c r="N27" s="267"/>
      <c r="O27" s="85" t="s">
        <v>86</v>
      </c>
      <c r="P27" s="85">
        <f t="shared" si="3"/>
        <v>0</v>
      </c>
      <c r="Q27" s="85">
        <f t="shared" si="4"/>
        <v>0</v>
      </c>
      <c r="R27" s="128">
        <f t="shared" si="5"/>
        <v>0</v>
      </c>
    </row>
    <row r="28" spans="1:18" x14ac:dyDescent="0.25">
      <c r="A28" s="2"/>
      <c r="B28" s="4"/>
      <c r="C28" s="85" t="s">
        <v>73</v>
      </c>
      <c r="D28" s="267"/>
      <c r="E28" s="267"/>
      <c r="F28" s="85" t="s">
        <v>87</v>
      </c>
      <c r="G28" s="4"/>
      <c r="H28" s="4"/>
      <c r="I28" s="37">
        <v>0</v>
      </c>
      <c r="J28" s="85" t="s">
        <v>73</v>
      </c>
      <c r="K28" s="269">
        <v>8</v>
      </c>
      <c r="L28" s="269">
        <v>8</v>
      </c>
      <c r="M28" s="269">
        <v>16</v>
      </c>
      <c r="N28" s="267"/>
      <c r="O28" s="85" t="s">
        <v>87</v>
      </c>
      <c r="P28" s="85">
        <f t="shared" si="3"/>
        <v>0</v>
      </c>
      <c r="Q28" s="85">
        <f t="shared" si="4"/>
        <v>0</v>
      </c>
      <c r="R28" s="128">
        <f t="shared" si="5"/>
        <v>0</v>
      </c>
    </row>
    <row r="29" spans="1:18" x14ac:dyDescent="0.25">
      <c r="A29" s="2"/>
      <c r="B29" s="4"/>
      <c r="C29" s="85" t="s">
        <v>75</v>
      </c>
      <c r="D29" s="267"/>
      <c r="E29" s="267"/>
      <c r="F29" s="85" t="s">
        <v>88</v>
      </c>
      <c r="G29" s="4"/>
      <c r="H29" s="4"/>
      <c r="I29" s="37">
        <v>0</v>
      </c>
      <c r="J29" s="85" t="s">
        <v>75</v>
      </c>
      <c r="K29" s="269">
        <v>8</v>
      </c>
      <c r="L29" s="269">
        <v>8</v>
      </c>
      <c r="M29" s="269">
        <v>16</v>
      </c>
      <c r="N29" s="267"/>
      <c r="O29" s="85" t="s">
        <v>88</v>
      </c>
      <c r="P29" s="85">
        <f t="shared" si="3"/>
        <v>0</v>
      </c>
      <c r="Q29" s="85">
        <f t="shared" si="4"/>
        <v>0</v>
      </c>
      <c r="R29" s="128">
        <f t="shared" si="5"/>
        <v>0</v>
      </c>
    </row>
    <row r="30" spans="1:18" x14ac:dyDescent="0.25">
      <c r="A30" s="2"/>
      <c r="B30" s="4"/>
      <c r="C30" s="85" t="s">
        <v>76</v>
      </c>
      <c r="D30" s="267"/>
      <c r="E30" s="267"/>
      <c r="F30" s="267" t="s">
        <v>89</v>
      </c>
      <c r="G30" s="4"/>
      <c r="H30" s="4"/>
      <c r="I30" s="37">
        <v>0</v>
      </c>
      <c r="J30" s="85" t="s">
        <v>76</v>
      </c>
      <c r="K30" s="270">
        <v>8</v>
      </c>
      <c r="L30" s="270">
        <v>8</v>
      </c>
      <c r="M30" s="270">
        <v>16</v>
      </c>
      <c r="N30" s="267"/>
      <c r="O30" s="267" t="s">
        <v>89</v>
      </c>
      <c r="P30" s="85">
        <f t="shared" si="3"/>
        <v>0</v>
      </c>
      <c r="Q30" s="85">
        <f t="shared" si="4"/>
        <v>0</v>
      </c>
      <c r="R30" s="128">
        <f t="shared" si="5"/>
        <v>0</v>
      </c>
    </row>
    <row r="31" spans="1:18" x14ac:dyDescent="0.25">
      <c r="A31" s="2"/>
      <c r="B31" s="4"/>
      <c r="C31" s="85" t="s">
        <v>78</v>
      </c>
      <c r="D31" s="267">
        <v>12</v>
      </c>
      <c r="E31" s="267"/>
      <c r="F31" s="267"/>
      <c r="G31" s="4"/>
      <c r="H31" s="4"/>
      <c r="I31" s="37">
        <v>0</v>
      </c>
      <c r="J31" s="85" t="s">
        <v>78</v>
      </c>
      <c r="K31" s="268">
        <v>12</v>
      </c>
      <c r="L31" s="268">
        <v>12</v>
      </c>
      <c r="M31" s="268">
        <v>24</v>
      </c>
      <c r="N31" s="267"/>
      <c r="O31" s="267"/>
      <c r="P31" s="85">
        <f t="shared" si="3"/>
        <v>0</v>
      </c>
      <c r="Q31" s="85">
        <f t="shared" si="4"/>
        <v>0</v>
      </c>
      <c r="R31" s="128">
        <f t="shared" si="5"/>
        <v>0</v>
      </c>
    </row>
    <row r="32" spans="1:18" x14ac:dyDescent="0.25">
      <c r="A32" s="2"/>
      <c r="B32" s="4"/>
      <c r="C32" s="85" t="s">
        <v>80</v>
      </c>
      <c r="D32" s="267"/>
      <c r="E32" s="85" t="s">
        <v>65</v>
      </c>
      <c r="F32" s="85" t="s">
        <v>90</v>
      </c>
      <c r="G32" s="4"/>
      <c r="H32" s="4"/>
      <c r="I32" s="37">
        <v>0</v>
      </c>
      <c r="J32" s="85" t="s">
        <v>80</v>
      </c>
      <c r="K32" s="270">
        <v>12</v>
      </c>
      <c r="L32" s="270">
        <v>12</v>
      </c>
      <c r="M32" s="270">
        <v>24</v>
      </c>
      <c r="N32" s="85" t="s">
        <v>65</v>
      </c>
      <c r="O32" s="85" t="s">
        <v>90</v>
      </c>
      <c r="P32" s="85">
        <f t="shared" si="3"/>
        <v>0</v>
      </c>
      <c r="Q32" s="85">
        <f t="shared" si="4"/>
        <v>0</v>
      </c>
      <c r="R32" s="128">
        <f t="shared" si="5"/>
        <v>0</v>
      </c>
    </row>
    <row r="33" spans="1:18" x14ac:dyDescent="0.25">
      <c r="A33" s="2"/>
      <c r="B33" s="4"/>
      <c r="C33" s="4"/>
      <c r="D33" s="4"/>
      <c r="E33" s="4"/>
      <c r="F33" s="5"/>
      <c r="G33" s="4"/>
      <c r="H33" s="4"/>
      <c r="I33" s="5"/>
      <c r="J33" s="4"/>
      <c r="K33" s="4"/>
      <c r="L33" s="4"/>
      <c r="M33" s="4"/>
      <c r="N33" s="5"/>
      <c r="O33" s="5"/>
      <c r="P33" s="4"/>
      <c r="Q33" s="4"/>
      <c r="R33" s="3"/>
    </row>
    <row r="34" spans="1:18" ht="15.75" thickBot="1" x14ac:dyDescent="0.3">
      <c r="A34" s="101"/>
      <c r="B34" s="102"/>
      <c r="C34" s="102"/>
      <c r="D34" s="102"/>
      <c r="E34" s="102"/>
      <c r="F34" s="103"/>
      <c r="G34" s="102"/>
      <c r="H34" s="102"/>
      <c r="I34" s="103"/>
      <c r="J34" s="102"/>
      <c r="K34" s="102"/>
      <c r="L34" s="102"/>
      <c r="M34" s="102"/>
      <c r="N34" s="103"/>
      <c r="O34" s="103"/>
      <c r="P34" s="102"/>
      <c r="Q34" s="102"/>
      <c r="R34" s="108"/>
    </row>
  </sheetData>
  <sheetProtection algorithmName="SHA-512" hashValue="ElcGjnv64y3lE8d1ULhxj4DkxrBfqBMP/JJZh9nDai4vZhZLtuCh6F4BK5+CSeDARJsOcErOPMmR6q4emRDDvA==" saltValue="TQr95LkuDvaHbNKIDj2+kA==" spinCount="100000" sheet="1" objects="1" scenarios="1" formatCells="0"/>
  <customSheetViews>
    <customSheetView guid="{C2890FB4-BE88-474C-B3CD-908783EA9CB2}" scale="77">
      <pageMargins left="0.511811024" right="0.511811024" top="0.78740157499999996" bottom="0.78740157499999996" header="0.31496062000000002" footer="0.31496062000000002"/>
    </customSheetView>
  </customSheetViews>
  <mergeCells count="47">
    <mergeCell ref="E22:E25"/>
    <mergeCell ref="O30:O31"/>
    <mergeCell ref="D31:D32"/>
    <mergeCell ref="K31:K32"/>
    <mergeCell ref="L31:L32"/>
    <mergeCell ref="M31:M32"/>
    <mergeCell ref="N26:N31"/>
    <mergeCell ref="F30:F31"/>
    <mergeCell ref="D26:D30"/>
    <mergeCell ref="E26:E31"/>
    <mergeCell ref="K26:K30"/>
    <mergeCell ref="L26:L30"/>
    <mergeCell ref="M26:M30"/>
    <mergeCell ref="P19:R19"/>
    <mergeCell ref="D13:D16"/>
    <mergeCell ref="N22:N25"/>
    <mergeCell ref="F23:F24"/>
    <mergeCell ref="O23:O24"/>
    <mergeCell ref="L13:L16"/>
    <mergeCell ref="M13:M16"/>
    <mergeCell ref="E14:E16"/>
    <mergeCell ref="N14:N16"/>
    <mergeCell ref="C19:F19"/>
    <mergeCell ref="I19:J19"/>
    <mergeCell ref="K19:M19"/>
    <mergeCell ref="D21:D25"/>
    <mergeCell ref="K21:K25"/>
    <mergeCell ref="L21:L25"/>
    <mergeCell ref="M21:M25"/>
    <mergeCell ref="N5:N9"/>
    <mergeCell ref="O6:O7"/>
    <mergeCell ref="O8:O9"/>
    <mergeCell ref="E10:E13"/>
    <mergeCell ref="N10:N13"/>
    <mergeCell ref="O12:O13"/>
    <mergeCell ref="K13:K16"/>
    <mergeCell ref="D5:D12"/>
    <mergeCell ref="E5:E9"/>
    <mergeCell ref="K5:K12"/>
    <mergeCell ref="L5:L12"/>
    <mergeCell ref="M5:M12"/>
    <mergeCell ref="A1:R1"/>
    <mergeCell ref="B2:R2"/>
    <mergeCell ref="C3:F3"/>
    <mergeCell ref="I3:J3"/>
    <mergeCell ref="K3:M3"/>
    <mergeCell ref="P3:R3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2" workbookViewId="0">
      <selection activeCell="J15" sqref="J15"/>
    </sheetView>
  </sheetViews>
  <sheetFormatPr defaultRowHeight="15" x14ac:dyDescent="0.25"/>
  <cols>
    <col min="1" max="1" width="25.7109375" style="1" customWidth="1"/>
    <col min="2" max="2" width="9.140625" style="1"/>
    <col min="3" max="3" width="9.140625" style="27"/>
    <col min="4" max="4" width="9.140625" style="1"/>
    <col min="5" max="5" width="9.140625" style="27"/>
    <col min="6" max="6" width="9.140625" style="1"/>
    <col min="7" max="7" width="9.140625" style="27"/>
    <col min="8" max="8" width="9.140625" style="1"/>
    <col min="9" max="9" width="9.140625" style="27"/>
    <col min="10" max="10" width="9.140625" style="1"/>
    <col min="11" max="11" width="9.140625" style="27"/>
    <col min="12" max="12" width="9.140625" style="1"/>
    <col min="13" max="13" width="9.140625" style="27"/>
    <col min="14" max="14" width="9.140625" style="1"/>
    <col min="15" max="15" width="9.140625" style="27"/>
    <col min="16" max="16" width="9.140625" style="1"/>
    <col min="17" max="17" width="9.140625" style="27"/>
    <col min="18" max="18" width="9.140625" style="1"/>
    <col min="19" max="19" width="9.140625" style="27"/>
    <col min="20" max="20" width="9.140625" style="30"/>
  </cols>
  <sheetData>
    <row r="1" spans="1:21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6"/>
    </row>
    <row r="2" spans="1:21" ht="35.25" customHeight="1" thickBot="1" x14ac:dyDescent="0.3">
      <c r="A2" s="92" t="s">
        <v>130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8"/>
    </row>
    <row r="3" spans="1:21" s="39" customFormat="1" ht="15" customHeight="1" x14ac:dyDescent="0.25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</row>
    <row r="4" spans="1:21" ht="19.5" customHeight="1" x14ac:dyDescent="0.25">
      <c r="A4" s="274" t="s">
        <v>100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</row>
    <row r="5" spans="1:21" ht="21" customHeight="1" x14ac:dyDescent="0.25">
      <c r="A5" s="281" t="s">
        <v>113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3"/>
    </row>
    <row r="6" spans="1:21" x14ac:dyDescent="0.25">
      <c r="A6" s="140" t="s">
        <v>101</v>
      </c>
      <c r="B6" s="277" t="s">
        <v>63</v>
      </c>
      <c r="C6" s="278"/>
      <c r="D6" s="277" t="s">
        <v>65</v>
      </c>
      <c r="E6" s="278"/>
      <c r="F6" s="277" t="s">
        <v>102</v>
      </c>
      <c r="G6" s="278"/>
      <c r="H6" s="277" t="s">
        <v>68</v>
      </c>
      <c r="I6" s="278"/>
      <c r="J6" s="277" t="s">
        <v>69</v>
      </c>
      <c r="K6" s="278"/>
      <c r="L6" s="277" t="s">
        <v>71</v>
      </c>
      <c r="M6" s="278"/>
      <c r="N6" s="277" t="s">
        <v>73</v>
      </c>
      <c r="O6" s="278"/>
      <c r="P6" s="277" t="s">
        <v>75</v>
      </c>
      <c r="Q6" s="278"/>
      <c r="R6" s="277" t="s">
        <v>78</v>
      </c>
      <c r="S6" s="278"/>
      <c r="T6" s="279" t="s">
        <v>80</v>
      </c>
      <c r="U6" s="280"/>
    </row>
    <row r="7" spans="1:21" x14ac:dyDescent="0.25">
      <c r="A7" s="140" t="s">
        <v>105</v>
      </c>
      <c r="B7" s="135">
        <v>21.2</v>
      </c>
      <c r="C7" s="135"/>
      <c r="D7" s="135">
        <v>26.6</v>
      </c>
      <c r="E7" s="135"/>
      <c r="F7" s="135">
        <v>35.299999999999997</v>
      </c>
      <c r="G7" s="135"/>
      <c r="H7" s="135">
        <v>41.2</v>
      </c>
      <c r="I7" s="135"/>
      <c r="J7" s="135">
        <v>52.2</v>
      </c>
      <c r="K7" s="135"/>
      <c r="L7" s="135">
        <v>67.8</v>
      </c>
      <c r="M7" s="135"/>
      <c r="N7" s="135">
        <v>79.5</v>
      </c>
      <c r="O7" s="135"/>
      <c r="P7" s="135">
        <v>104.1</v>
      </c>
      <c r="Q7" s="135"/>
      <c r="R7" s="135">
        <v>154</v>
      </c>
      <c r="S7" s="135"/>
      <c r="T7" s="138">
        <v>203</v>
      </c>
      <c r="U7" s="141"/>
    </row>
    <row r="8" spans="1:21" ht="30" x14ac:dyDescent="0.25">
      <c r="A8" s="140" t="s">
        <v>114</v>
      </c>
      <c r="B8" s="135"/>
      <c r="C8" s="135">
        <v>18.600000000000001</v>
      </c>
      <c r="D8" s="118"/>
      <c r="E8" s="135">
        <v>24.099999999999998</v>
      </c>
      <c r="F8" s="118"/>
      <c r="G8" s="135">
        <v>32.299999999999997</v>
      </c>
      <c r="H8" s="118"/>
      <c r="I8" s="135">
        <v>37.700000000000003</v>
      </c>
      <c r="J8" s="118"/>
      <c r="K8" s="135">
        <v>48.800000000000004</v>
      </c>
      <c r="L8" s="118"/>
      <c r="M8" s="135">
        <v>58.8</v>
      </c>
      <c r="N8" s="118"/>
      <c r="O8" s="135">
        <v>73.100000000000009</v>
      </c>
      <c r="P8" s="135"/>
      <c r="Q8" s="135">
        <v>96.800000000000011</v>
      </c>
      <c r="R8" s="135"/>
      <c r="S8" s="135">
        <v>146.30000000000001</v>
      </c>
      <c r="T8" s="135"/>
      <c r="U8" s="142">
        <v>193.7</v>
      </c>
    </row>
    <row r="9" spans="1:21" x14ac:dyDescent="0.25">
      <c r="A9" s="143" t="s">
        <v>115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44"/>
    </row>
    <row r="10" spans="1:21" x14ac:dyDescent="0.25">
      <c r="A10" s="143">
        <v>0.4</v>
      </c>
      <c r="B10" s="22">
        <v>3</v>
      </c>
      <c r="C10" s="25">
        <v>1.6372</v>
      </c>
      <c r="D10" s="22">
        <v>2.14</v>
      </c>
      <c r="E10" s="25">
        <v>1.3149</v>
      </c>
      <c r="F10" s="22">
        <v>1.34</v>
      </c>
      <c r="G10" s="25">
        <v>0.84960000000000002</v>
      </c>
      <c r="H10" s="22">
        <v>1.0880000000000001</v>
      </c>
      <c r="I10" s="25">
        <v>0.69115000000000004</v>
      </c>
      <c r="J10" s="22">
        <v>1.2917000000000001</v>
      </c>
      <c r="K10" s="25">
        <v>0.50992999999999999</v>
      </c>
      <c r="L10" s="22">
        <v>0.61</v>
      </c>
      <c r="M10" s="136"/>
      <c r="N10" s="22">
        <v>0.54</v>
      </c>
      <c r="O10" s="25">
        <v>0.30842999999999998</v>
      </c>
      <c r="P10" s="22">
        <v>0.34</v>
      </c>
      <c r="Q10" s="25">
        <v>0.24177000000000001</v>
      </c>
      <c r="R10" s="22">
        <v>0.22</v>
      </c>
      <c r="S10" s="25">
        <v>0.14760999999999999</v>
      </c>
      <c r="T10" s="26">
        <v>0.15178375448817832</v>
      </c>
      <c r="U10" s="145">
        <v>0.10184</v>
      </c>
    </row>
    <row r="11" spans="1:21" x14ac:dyDescent="0.25">
      <c r="A11" s="143">
        <v>1.85</v>
      </c>
      <c r="B11" s="22">
        <v>38</v>
      </c>
      <c r="C11" s="25">
        <v>23.28</v>
      </c>
      <c r="D11" s="22">
        <v>25</v>
      </c>
      <c r="E11" s="25">
        <v>15.3095</v>
      </c>
      <c r="F11" s="22">
        <v>21.22</v>
      </c>
      <c r="G11" s="25">
        <v>12.47443</v>
      </c>
      <c r="H11" s="22">
        <v>17.57</v>
      </c>
      <c r="I11" s="25">
        <v>9.8306500000000003</v>
      </c>
      <c r="J11" s="22">
        <v>13.86</v>
      </c>
      <c r="K11" s="25">
        <v>6.9995000000000003</v>
      </c>
      <c r="L11" s="22">
        <v>10.489000000000001</v>
      </c>
      <c r="M11" s="25">
        <v>5.8160299999999996</v>
      </c>
      <c r="N11" s="22">
        <v>8.6255000000000006</v>
      </c>
      <c r="O11" s="25">
        <v>4.7448199999999998</v>
      </c>
      <c r="P11" s="22">
        <v>6.0510000000000002</v>
      </c>
      <c r="Q11" s="25">
        <v>3.3186900000000001</v>
      </c>
      <c r="R11" s="22">
        <v>3.93</v>
      </c>
      <c r="S11" s="25">
        <v>2.0505499999999999</v>
      </c>
      <c r="T11" s="26">
        <v>2.8657156372680501</v>
      </c>
      <c r="U11" s="145">
        <v>1.4952399999999999</v>
      </c>
    </row>
    <row r="12" spans="1:21" x14ac:dyDescent="0.25">
      <c r="A12" s="143">
        <v>3</v>
      </c>
      <c r="B12" s="22">
        <v>80</v>
      </c>
      <c r="C12" s="25">
        <v>66.401399999999995</v>
      </c>
      <c r="D12" s="22">
        <v>64</v>
      </c>
      <c r="E12" s="25">
        <v>42.415430000000001</v>
      </c>
      <c r="F12" s="22">
        <v>60</v>
      </c>
      <c r="G12" s="25">
        <v>31.09</v>
      </c>
      <c r="H12" s="22">
        <v>43.759</v>
      </c>
      <c r="I12" s="25">
        <v>25.293119999999998</v>
      </c>
      <c r="J12" s="22">
        <v>35.799999999999997</v>
      </c>
      <c r="K12" s="25">
        <v>18.661149999999999</v>
      </c>
      <c r="L12" s="22">
        <v>25.5</v>
      </c>
      <c r="M12" s="25">
        <v>14.524039999999999</v>
      </c>
      <c r="N12" s="22">
        <v>22.3</v>
      </c>
      <c r="O12" s="25">
        <v>11.287319999999999</v>
      </c>
      <c r="P12" s="22">
        <v>16</v>
      </c>
      <c r="Q12" s="25">
        <v>8.0245099999999994</v>
      </c>
      <c r="R12" s="22">
        <v>10.11</v>
      </c>
      <c r="S12" s="25">
        <v>4.9540800000000003</v>
      </c>
      <c r="T12" s="26">
        <v>6.1421033572328261</v>
      </c>
      <c r="U12" s="145">
        <v>3.0097399999999999</v>
      </c>
    </row>
    <row r="13" spans="1:21" x14ac:dyDescent="0.25">
      <c r="A13" s="146"/>
      <c r="B13" s="5"/>
      <c r="C13" s="147"/>
      <c r="D13" s="5"/>
      <c r="E13" s="147"/>
      <c r="F13" s="5"/>
      <c r="G13" s="147"/>
      <c r="H13" s="5"/>
      <c r="I13" s="147"/>
      <c r="J13" s="5"/>
      <c r="K13" s="147"/>
      <c r="L13" s="5"/>
      <c r="M13" s="147"/>
      <c r="N13" s="5"/>
      <c r="O13" s="147"/>
      <c r="P13" s="5"/>
      <c r="Q13" s="147"/>
      <c r="R13" s="5"/>
      <c r="S13" s="147"/>
      <c r="T13" s="72"/>
      <c r="U13" s="3"/>
    </row>
    <row r="14" spans="1:21" x14ac:dyDescent="0.25">
      <c r="A14" s="146"/>
      <c r="B14" s="5"/>
      <c r="C14" s="147"/>
      <c r="D14" s="5"/>
      <c r="E14" s="147"/>
      <c r="F14" s="5"/>
      <c r="G14" s="147"/>
      <c r="H14" s="5"/>
      <c r="I14" s="147"/>
      <c r="J14" s="5"/>
      <c r="K14" s="147"/>
      <c r="L14" s="5"/>
      <c r="M14" s="147"/>
      <c r="N14" s="5"/>
      <c r="O14" s="147"/>
      <c r="P14" s="5"/>
      <c r="Q14" s="147"/>
      <c r="R14" s="5"/>
      <c r="S14" s="147"/>
      <c r="T14" s="148"/>
      <c r="U14" s="3"/>
    </row>
    <row r="15" spans="1:21" x14ac:dyDescent="0.25">
      <c r="A15" s="146"/>
      <c r="B15" s="5"/>
      <c r="C15" s="147"/>
      <c r="D15" s="5"/>
      <c r="E15" s="284" t="s">
        <v>116</v>
      </c>
      <c r="F15" s="284"/>
      <c r="G15" s="147"/>
      <c r="H15" s="5"/>
      <c r="I15" s="147"/>
      <c r="J15" s="5"/>
      <c r="K15" s="147"/>
      <c r="L15" s="5"/>
      <c r="M15" s="147"/>
      <c r="N15" s="5"/>
      <c r="O15" s="147"/>
      <c r="P15" s="5"/>
      <c r="Q15" s="147"/>
      <c r="R15" s="5"/>
      <c r="S15" s="147"/>
      <c r="T15" s="148"/>
      <c r="U15" s="3"/>
    </row>
    <row r="16" spans="1:21" x14ac:dyDescent="0.25">
      <c r="A16" s="146"/>
      <c r="B16" s="5"/>
      <c r="C16" s="147"/>
      <c r="D16" s="5"/>
      <c r="E16" s="28">
        <v>1.7589999999999999</v>
      </c>
      <c r="F16" s="28">
        <v>5.45</v>
      </c>
      <c r="G16" s="147"/>
      <c r="H16" s="5"/>
      <c r="I16" s="147"/>
      <c r="J16" s="5"/>
      <c r="K16" s="147"/>
      <c r="L16" s="5"/>
      <c r="M16" s="147"/>
      <c r="N16" s="5"/>
      <c r="O16" s="147"/>
      <c r="P16" s="5"/>
      <c r="Q16" s="147"/>
      <c r="R16" s="5"/>
      <c r="S16" s="147"/>
      <c r="T16" s="148"/>
      <c r="U16" s="3"/>
    </row>
    <row r="17" spans="1:21" x14ac:dyDescent="0.25">
      <c r="A17" s="146"/>
      <c r="B17" s="5"/>
      <c r="C17" s="147"/>
      <c r="D17" s="5"/>
      <c r="E17" s="28">
        <v>1.85</v>
      </c>
      <c r="F17" s="29" t="s">
        <v>117</v>
      </c>
      <c r="G17" s="147"/>
      <c r="H17" s="5"/>
      <c r="I17" s="147"/>
      <c r="J17" s="149"/>
      <c r="K17" s="147"/>
      <c r="L17" s="5"/>
      <c r="M17" s="147"/>
      <c r="N17" s="5"/>
      <c r="O17" s="147"/>
      <c r="P17" s="5"/>
      <c r="Q17" s="147"/>
      <c r="R17" s="5"/>
      <c r="S17" s="147"/>
      <c r="T17" s="72"/>
      <c r="U17" s="3"/>
    </row>
    <row r="18" spans="1:21" x14ac:dyDescent="0.25">
      <c r="A18" s="146"/>
      <c r="B18" s="5"/>
      <c r="C18" s="147"/>
      <c r="D18" s="5"/>
      <c r="E18" s="28">
        <v>1.9510000000000001</v>
      </c>
      <c r="F18" s="28">
        <v>6.72</v>
      </c>
      <c r="G18" s="147"/>
      <c r="H18" s="5"/>
      <c r="I18" s="147"/>
      <c r="J18" s="5"/>
      <c r="K18" s="147"/>
      <c r="L18" s="5"/>
      <c r="M18" s="147"/>
      <c r="N18" s="5"/>
      <c r="O18" s="147"/>
      <c r="P18" s="147"/>
      <c r="Q18" s="147"/>
      <c r="R18" s="5"/>
      <c r="S18" s="147"/>
      <c r="T18" s="72"/>
      <c r="U18" s="3"/>
    </row>
    <row r="19" spans="1:21" x14ac:dyDescent="0.25">
      <c r="A19" s="146"/>
      <c r="B19" s="5"/>
      <c r="C19" s="147"/>
      <c r="D19" s="5"/>
      <c r="E19" s="147"/>
      <c r="F19" s="5"/>
      <c r="G19" s="147"/>
      <c r="H19" s="5"/>
      <c r="I19" s="147"/>
      <c r="J19" s="5"/>
      <c r="K19" s="147"/>
      <c r="L19" s="5"/>
      <c r="M19" s="147"/>
      <c r="N19" s="5"/>
      <c r="O19" s="147"/>
      <c r="P19" s="5"/>
      <c r="Q19" s="147"/>
      <c r="R19" s="5"/>
      <c r="S19" s="147"/>
      <c r="T19" s="72"/>
      <c r="U19" s="3"/>
    </row>
    <row r="20" spans="1:21" x14ac:dyDescent="0.25">
      <c r="A20" s="2"/>
      <c r="B20" s="4"/>
      <c r="C20" s="4"/>
      <c r="D20" s="4"/>
      <c r="E20" s="31" t="s">
        <v>118</v>
      </c>
      <c r="F20" s="32">
        <f>((E17-E16)*(F18-F16)/(E18-E16))+F16</f>
        <v>6.0519270833333341</v>
      </c>
      <c r="G20" s="15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"/>
    </row>
    <row r="21" spans="1:21" ht="15.75" thickBot="1" x14ac:dyDescent="0.3">
      <c r="A21" s="151"/>
      <c r="B21" s="103"/>
      <c r="C21" s="152"/>
      <c r="D21" s="103"/>
      <c r="E21" s="152"/>
      <c r="F21" s="103"/>
      <c r="G21" s="152"/>
      <c r="H21" s="103"/>
      <c r="I21" s="152"/>
      <c r="J21" s="103"/>
      <c r="K21" s="152"/>
      <c r="L21" s="103"/>
      <c r="M21" s="152"/>
      <c r="N21" s="103"/>
      <c r="O21" s="152"/>
      <c r="P21" s="103"/>
      <c r="Q21" s="152"/>
      <c r="R21" s="103"/>
      <c r="S21" s="152"/>
      <c r="T21" s="153"/>
      <c r="U21" s="108"/>
    </row>
  </sheetData>
  <sheetProtection algorithmName="SHA-512" hashValue="Q1M5Y0f5nTpMqepU0BuOc1XGWV8W+XuEjZ63/xdxkzMqINmz9CkREnzpRcTQtesxH8jJLMAhx2mR235y1WrVvg==" saltValue="tE0rl12Vhyg33kS6fF60Rw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</customSheetView>
  </customSheetViews>
  <mergeCells count="16">
    <mergeCell ref="E15:F15"/>
    <mergeCell ref="B6:C6"/>
    <mergeCell ref="D6:E6"/>
    <mergeCell ref="F6:G6"/>
    <mergeCell ref="H6:I6"/>
    <mergeCell ref="A1:U1"/>
    <mergeCell ref="B2:U2"/>
    <mergeCell ref="A3:U3"/>
    <mergeCell ref="A4:U4"/>
    <mergeCell ref="R6:S6"/>
    <mergeCell ref="T6:U6"/>
    <mergeCell ref="J6:K6"/>
    <mergeCell ref="L6:M6"/>
    <mergeCell ref="N6:O6"/>
    <mergeCell ref="P6:Q6"/>
    <mergeCell ref="A5:U5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71" zoomScaleNormal="71" workbookViewId="0">
      <selection activeCell="A2" sqref="A2"/>
    </sheetView>
  </sheetViews>
  <sheetFormatPr defaultRowHeight="15" x14ac:dyDescent="0.25"/>
  <cols>
    <col min="1" max="1" width="25.7109375" customWidth="1"/>
    <col min="2" max="2" width="12" style="21" bestFit="1" customWidth="1"/>
    <col min="3" max="3" width="15.42578125" style="1" customWidth="1"/>
    <col min="17" max="17" width="14.7109375" style="1" customWidth="1"/>
  </cols>
  <sheetData>
    <row r="1" spans="1:21" s="39" customFormat="1" ht="65.099999999999994" customHeight="1" thickBot="1" x14ac:dyDescent="0.3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/>
      <c r="R1" s="90"/>
      <c r="S1" s="90"/>
      <c r="T1" s="90"/>
      <c r="U1" s="91"/>
    </row>
    <row r="2" spans="1:21" ht="29.25" customHeight="1" thickBot="1" x14ac:dyDescent="0.3">
      <c r="A2" s="92" t="s">
        <v>130</v>
      </c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7"/>
    </row>
    <row r="3" spans="1:21" s="39" customFormat="1" ht="10.5" customHeight="1" thickBot="1" x14ac:dyDescent="0.3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3"/>
    </row>
    <row r="4" spans="1:21" ht="19.5" customHeight="1" thickBot="1" x14ac:dyDescent="0.3">
      <c r="A4" s="2"/>
      <c r="B4" s="154"/>
      <c r="C4" s="253" t="s">
        <v>100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21" x14ac:dyDescent="0.25">
      <c r="A5" s="2"/>
      <c r="B5" s="15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97"/>
    </row>
    <row r="6" spans="1:21" ht="15" customHeight="1" x14ac:dyDescent="0.25">
      <c r="A6" s="2"/>
      <c r="B6" s="154"/>
      <c r="C6" s="139" t="s">
        <v>101</v>
      </c>
      <c r="D6" s="139" t="s">
        <v>63</v>
      </c>
      <c r="E6" s="139" t="s">
        <v>65</v>
      </c>
      <c r="F6" s="139" t="s">
        <v>102</v>
      </c>
      <c r="G6" s="139" t="s">
        <v>68</v>
      </c>
      <c r="H6" s="139" t="s">
        <v>69</v>
      </c>
      <c r="I6" s="139" t="s">
        <v>71</v>
      </c>
      <c r="J6" s="139" t="s">
        <v>73</v>
      </c>
      <c r="K6" s="139" t="s">
        <v>75</v>
      </c>
      <c r="L6" s="139" t="s">
        <v>76</v>
      </c>
      <c r="M6" s="139" t="s">
        <v>78</v>
      </c>
      <c r="N6" s="139" t="s">
        <v>80</v>
      </c>
      <c r="O6" s="139" t="s">
        <v>103</v>
      </c>
      <c r="P6" s="139" t="s">
        <v>104</v>
      </c>
      <c r="Q6" s="157"/>
    </row>
    <row r="7" spans="1:21" ht="30" x14ac:dyDescent="0.25">
      <c r="A7" s="2"/>
      <c r="B7" s="154"/>
      <c r="C7" s="139" t="s">
        <v>105</v>
      </c>
      <c r="D7" s="139">
        <v>21.2</v>
      </c>
      <c r="E7" s="139">
        <v>26.6</v>
      </c>
      <c r="F7" s="139">
        <v>35.299999999999997</v>
      </c>
      <c r="G7" s="139">
        <v>41.2</v>
      </c>
      <c r="H7" s="139">
        <v>52.2</v>
      </c>
      <c r="I7" s="139">
        <v>67.8</v>
      </c>
      <c r="J7" s="139">
        <v>79.5</v>
      </c>
      <c r="K7" s="139">
        <v>104.1</v>
      </c>
      <c r="L7" s="139">
        <v>128.5</v>
      </c>
      <c r="M7" s="139">
        <v>154</v>
      </c>
      <c r="N7" s="139">
        <v>203</v>
      </c>
      <c r="O7" s="139">
        <v>254</v>
      </c>
      <c r="P7" s="139">
        <v>305</v>
      </c>
      <c r="Q7" s="158"/>
    </row>
    <row r="8" spans="1:21" x14ac:dyDescent="0.25">
      <c r="A8" s="2"/>
      <c r="B8" s="155" t="s">
        <v>106</v>
      </c>
      <c r="C8" s="139" t="s">
        <v>107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59" t="s">
        <v>107</v>
      </c>
    </row>
    <row r="9" spans="1:21" x14ac:dyDescent="0.25">
      <c r="A9" s="2"/>
      <c r="B9" s="156">
        <f>C9*1000/3600</f>
        <v>0.27777777777777779</v>
      </c>
      <c r="C9" s="139">
        <v>1</v>
      </c>
      <c r="D9" s="23">
        <v>4.8</v>
      </c>
      <c r="E9" s="23">
        <v>1.6</v>
      </c>
      <c r="F9" s="23">
        <v>0.4</v>
      </c>
      <c r="G9" s="23">
        <v>0.2</v>
      </c>
      <c r="H9" s="23"/>
      <c r="I9" s="23"/>
      <c r="J9" s="23"/>
      <c r="K9" s="23"/>
      <c r="L9" s="23"/>
      <c r="M9" s="23"/>
      <c r="N9" s="23"/>
      <c r="O9" s="23"/>
      <c r="P9" s="23"/>
      <c r="Q9" s="159">
        <v>1</v>
      </c>
    </row>
    <row r="10" spans="1:21" x14ac:dyDescent="0.25">
      <c r="A10" s="2"/>
      <c r="B10" s="156">
        <f t="shared" ref="B10:B55" si="0">C10*1000/3600</f>
        <v>0.33333333333333331</v>
      </c>
      <c r="C10" s="139">
        <v>1.2</v>
      </c>
      <c r="D10" s="23">
        <v>6.7</v>
      </c>
      <c r="E10" s="23">
        <v>2.2000000000000002</v>
      </c>
      <c r="F10" s="23">
        <v>0.6</v>
      </c>
      <c r="G10" s="23">
        <v>0.3</v>
      </c>
      <c r="H10" s="23"/>
      <c r="I10" s="23"/>
      <c r="J10" s="23"/>
      <c r="K10" s="23"/>
      <c r="L10" s="23"/>
      <c r="M10" s="23"/>
      <c r="N10" s="23"/>
      <c r="O10" s="23"/>
      <c r="P10" s="23"/>
      <c r="Q10" s="159">
        <v>1.2</v>
      </c>
    </row>
    <row r="11" spans="1:21" x14ac:dyDescent="0.25">
      <c r="A11" s="2"/>
      <c r="B11" s="156">
        <f t="shared" si="0"/>
        <v>0.3888888888888889</v>
      </c>
      <c r="C11" s="139">
        <v>1.4</v>
      </c>
      <c r="D11" s="23">
        <v>8.9</v>
      </c>
      <c r="E11" s="23">
        <v>2.9</v>
      </c>
      <c r="F11" s="23">
        <v>0.7</v>
      </c>
      <c r="G11" s="23">
        <v>0.3</v>
      </c>
      <c r="H11" s="23">
        <v>0.1</v>
      </c>
      <c r="I11" s="23"/>
      <c r="J11" s="23"/>
      <c r="K11" s="23"/>
      <c r="L11" s="23"/>
      <c r="M11" s="23"/>
      <c r="N11" s="23"/>
      <c r="O11" s="23"/>
      <c r="P11" s="23"/>
      <c r="Q11" s="159">
        <v>1.4</v>
      </c>
    </row>
    <row r="12" spans="1:21" x14ac:dyDescent="0.25">
      <c r="A12" s="2"/>
      <c r="B12" s="156">
        <f t="shared" si="0"/>
        <v>0.44444444444444442</v>
      </c>
      <c r="C12" s="139">
        <v>1.6</v>
      </c>
      <c r="D12" s="23">
        <v>11.4</v>
      </c>
      <c r="E12" s="23">
        <v>3.8</v>
      </c>
      <c r="F12" s="23">
        <v>0.9</v>
      </c>
      <c r="G12" s="23">
        <v>0.4</v>
      </c>
      <c r="H12" s="23">
        <v>0.1</v>
      </c>
      <c r="I12" s="23"/>
      <c r="J12" s="23"/>
      <c r="K12" s="23"/>
      <c r="L12" s="23"/>
      <c r="M12" s="23"/>
      <c r="N12" s="23"/>
      <c r="O12" s="23"/>
      <c r="P12" s="23"/>
      <c r="Q12" s="159">
        <v>1.6</v>
      </c>
    </row>
    <row r="13" spans="1:21" x14ac:dyDescent="0.25">
      <c r="A13" s="2"/>
      <c r="B13" s="156">
        <f t="shared" si="0"/>
        <v>0.5</v>
      </c>
      <c r="C13" s="139">
        <v>1.8</v>
      </c>
      <c r="D13" s="23">
        <v>14.1</v>
      </c>
      <c r="E13" s="23">
        <v>4.7</v>
      </c>
      <c r="F13" s="23">
        <v>1.2</v>
      </c>
      <c r="G13" s="23">
        <v>0.6</v>
      </c>
      <c r="H13" s="23">
        <v>0.2</v>
      </c>
      <c r="I13" s="23"/>
      <c r="J13" s="23"/>
      <c r="K13" s="23"/>
      <c r="L13" s="23"/>
      <c r="M13" s="23"/>
      <c r="N13" s="23"/>
      <c r="O13" s="23"/>
      <c r="P13" s="23"/>
      <c r="Q13" s="159">
        <v>1.8</v>
      </c>
    </row>
    <row r="14" spans="1:21" x14ac:dyDescent="0.25">
      <c r="A14" s="2"/>
      <c r="B14" s="156">
        <f t="shared" si="0"/>
        <v>0.55555555555555558</v>
      </c>
      <c r="C14" s="139">
        <v>2</v>
      </c>
      <c r="D14" s="23">
        <v>17.2</v>
      </c>
      <c r="E14" s="23">
        <v>5.7</v>
      </c>
      <c r="F14" s="23">
        <v>1.4</v>
      </c>
      <c r="G14" s="23">
        <v>0.7</v>
      </c>
      <c r="H14" s="23">
        <v>0.2</v>
      </c>
      <c r="I14" s="23"/>
      <c r="J14" s="23"/>
      <c r="K14" s="23"/>
      <c r="L14" s="23"/>
      <c r="M14" s="23"/>
      <c r="N14" s="23"/>
      <c r="O14" s="23"/>
      <c r="P14" s="23"/>
      <c r="Q14" s="159">
        <v>2</v>
      </c>
    </row>
    <row r="15" spans="1:21" x14ac:dyDescent="0.25">
      <c r="A15" s="2"/>
      <c r="B15" s="156">
        <f t="shared" si="0"/>
        <v>0.69444444444444442</v>
      </c>
      <c r="C15" s="139">
        <v>2.5</v>
      </c>
      <c r="D15" s="23">
        <v>26</v>
      </c>
      <c r="E15" s="23">
        <v>8.6</v>
      </c>
      <c r="F15" s="23">
        <v>2.2000000000000002</v>
      </c>
      <c r="G15" s="23">
        <v>1</v>
      </c>
      <c r="H15" s="23">
        <v>0.3</v>
      </c>
      <c r="I15" s="23">
        <v>0.1</v>
      </c>
      <c r="J15" s="23"/>
      <c r="K15" s="23"/>
      <c r="L15" s="23"/>
      <c r="M15" s="23"/>
      <c r="N15" s="23"/>
      <c r="O15" s="23"/>
      <c r="P15" s="23"/>
      <c r="Q15" s="159">
        <v>2.5</v>
      </c>
    </row>
    <row r="16" spans="1:21" x14ac:dyDescent="0.25">
      <c r="A16" s="2"/>
      <c r="B16" s="156">
        <f t="shared" si="0"/>
        <v>0.83333333333333337</v>
      </c>
      <c r="C16" s="139">
        <v>3</v>
      </c>
      <c r="D16" s="23">
        <v>36.4</v>
      </c>
      <c r="E16" s="23">
        <v>12.1</v>
      </c>
      <c r="F16" s="23">
        <v>3</v>
      </c>
      <c r="G16" s="23">
        <v>1.4</v>
      </c>
      <c r="H16" s="23">
        <v>0.5</v>
      </c>
      <c r="I16" s="23">
        <v>0.1</v>
      </c>
      <c r="J16" s="23"/>
      <c r="K16" s="23"/>
      <c r="L16" s="23"/>
      <c r="M16" s="23"/>
      <c r="N16" s="23"/>
      <c r="O16" s="23"/>
      <c r="P16" s="23"/>
      <c r="Q16" s="159">
        <v>3</v>
      </c>
    </row>
    <row r="17" spans="1:17" x14ac:dyDescent="0.25">
      <c r="A17" s="2"/>
      <c r="B17" s="156">
        <f t="shared" si="0"/>
        <v>0.97222222222222221</v>
      </c>
      <c r="C17" s="139">
        <v>3.5</v>
      </c>
      <c r="D17" s="23">
        <v>48.5</v>
      </c>
      <c r="E17" s="23">
        <v>16.100000000000001</v>
      </c>
      <c r="F17" s="23">
        <v>4</v>
      </c>
      <c r="G17" s="23">
        <v>1.9</v>
      </c>
      <c r="H17" s="23">
        <v>0.6</v>
      </c>
      <c r="I17" s="23">
        <v>0.2</v>
      </c>
      <c r="J17" s="23">
        <v>0.1</v>
      </c>
      <c r="K17" s="23"/>
      <c r="L17" s="23"/>
      <c r="M17" s="23"/>
      <c r="N17" s="23"/>
      <c r="O17" s="23"/>
      <c r="P17" s="23"/>
      <c r="Q17" s="159">
        <v>3.5</v>
      </c>
    </row>
    <row r="18" spans="1:17" x14ac:dyDescent="0.25">
      <c r="A18" s="2"/>
      <c r="B18" s="156">
        <f t="shared" si="0"/>
        <v>1.1111111111111112</v>
      </c>
      <c r="C18" s="139">
        <v>4</v>
      </c>
      <c r="D18" s="23">
        <v>62.1</v>
      </c>
      <c r="E18" s="23">
        <v>20.6</v>
      </c>
      <c r="F18" s="23">
        <v>5.2</v>
      </c>
      <c r="G18" s="23">
        <v>2.4</v>
      </c>
      <c r="H18" s="23">
        <v>0.8</v>
      </c>
      <c r="I18" s="23">
        <v>0.2</v>
      </c>
      <c r="J18" s="23">
        <v>0.1</v>
      </c>
      <c r="K18" s="23"/>
      <c r="L18" s="23"/>
      <c r="M18" s="23"/>
      <c r="N18" s="23"/>
      <c r="O18" s="23"/>
      <c r="P18" s="23"/>
      <c r="Q18" s="159">
        <v>4</v>
      </c>
    </row>
    <row r="19" spans="1:17" x14ac:dyDescent="0.25">
      <c r="A19" s="2"/>
      <c r="B19" s="156">
        <f t="shared" si="0"/>
        <v>1.25</v>
      </c>
      <c r="C19" s="139">
        <v>4.5</v>
      </c>
      <c r="D19" s="23"/>
      <c r="E19" s="23">
        <v>25.6</v>
      </c>
      <c r="F19" s="23">
        <v>6.4</v>
      </c>
      <c r="G19" s="23">
        <v>3</v>
      </c>
      <c r="H19" s="23">
        <v>1</v>
      </c>
      <c r="I19" s="23">
        <v>0.3</v>
      </c>
      <c r="J19" s="23">
        <v>0.1</v>
      </c>
      <c r="K19" s="23"/>
      <c r="L19" s="23"/>
      <c r="M19" s="23"/>
      <c r="N19" s="23"/>
      <c r="O19" s="23"/>
      <c r="P19" s="23"/>
      <c r="Q19" s="159">
        <v>4.5</v>
      </c>
    </row>
    <row r="20" spans="1:17" x14ac:dyDescent="0.25">
      <c r="A20" s="2"/>
      <c r="B20" s="156">
        <f t="shared" si="0"/>
        <v>1.3888888888888888</v>
      </c>
      <c r="C20" s="139">
        <v>5</v>
      </c>
      <c r="D20" s="23"/>
      <c r="E20" s="23">
        <v>31.1</v>
      </c>
      <c r="F20" s="23">
        <v>7.8</v>
      </c>
      <c r="G20" s="23">
        <v>3.7</v>
      </c>
      <c r="H20" s="23">
        <v>1.2</v>
      </c>
      <c r="I20" s="23">
        <v>0.3</v>
      </c>
      <c r="J20" s="23">
        <v>0.2</v>
      </c>
      <c r="K20" s="23"/>
      <c r="L20" s="23"/>
      <c r="M20" s="23"/>
      <c r="N20" s="23"/>
      <c r="O20" s="23"/>
      <c r="P20" s="23"/>
      <c r="Q20" s="159">
        <v>5</v>
      </c>
    </row>
    <row r="21" spans="1:17" x14ac:dyDescent="0.25">
      <c r="A21" s="2"/>
      <c r="B21" s="156">
        <f t="shared" si="0"/>
        <v>1.6666666666666667</v>
      </c>
      <c r="C21" s="139">
        <v>6</v>
      </c>
      <c r="D21" s="23"/>
      <c r="E21" s="23">
        <v>43.6</v>
      </c>
      <c r="F21" s="23">
        <v>11</v>
      </c>
      <c r="G21" s="23">
        <v>5.2</v>
      </c>
      <c r="H21" s="23">
        <v>1.6</v>
      </c>
      <c r="I21" s="23">
        <v>0.5</v>
      </c>
      <c r="J21" s="23">
        <v>0.2</v>
      </c>
      <c r="K21" s="23"/>
      <c r="L21" s="23"/>
      <c r="M21" s="23"/>
      <c r="N21" s="23"/>
      <c r="O21" s="23"/>
      <c r="P21" s="23"/>
      <c r="Q21" s="159">
        <v>6</v>
      </c>
    </row>
    <row r="22" spans="1:17" x14ac:dyDescent="0.25">
      <c r="A22" s="2"/>
      <c r="B22" s="156">
        <f t="shared" si="0"/>
        <v>1.9444444444444444</v>
      </c>
      <c r="C22" s="139">
        <v>7</v>
      </c>
      <c r="D22" s="23"/>
      <c r="E22" s="23">
        <v>58</v>
      </c>
      <c r="F22" s="23">
        <v>14.6</v>
      </c>
      <c r="G22" s="23">
        <v>6.9</v>
      </c>
      <c r="H22" s="23">
        <v>2.2000000000000002</v>
      </c>
      <c r="I22" s="23">
        <v>0.6</v>
      </c>
      <c r="J22" s="23">
        <v>0.3</v>
      </c>
      <c r="K22" s="23">
        <v>0.1</v>
      </c>
      <c r="L22" s="23"/>
      <c r="M22" s="23"/>
      <c r="N22" s="23"/>
      <c r="O22" s="23"/>
      <c r="P22" s="23"/>
      <c r="Q22" s="159">
        <v>7</v>
      </c>
    </row>
    <row r="23" spans="1:17" x14ac:dyDescent="0.25">
      <c r="A23" s="2"/>
      <c r="B23" s="156">
        <f t="shared" si="0"/>
        <v>2.2222222222222223</v>
      </c>
      <c r="C23" s="139">
        <v>8</v>
      </c>
      <c r="D23" s="23"/>
      <c r="E23" s="23">
        <v>74.2</v>
      </c>
      <c r="F23" s="23">
        <v>18.7</v>
      </c>
      <c r="G23" s="23">
        <v>8.8000000000000007</v>
      </c>
      <c r="H23" s="23">
        <v>2.8</v>
      </c>
      <c r="I23" s="23">
        <v>0.8</v>
      </c>
      <c r="J23" s="23">
        <v>0.4</v>
      </c>
      <c r="K23" s="23">
        <v>0.1</v>
      </c>
      <c r="L23" s="23"/>
      <c r="M23" s="23"/>
      <c r="N23" s="23"/>
      <c r="O23" s="23"/>
      <c r="P23" s="23"/>
      <c r="Q23" s="159">
        <v>8</v>
      </c>
    </row>
    <row r="24" spans="1:17" x14ac:dyDescent="0.25">
      <c r="A24" s="2"/>
      <c r="B24" s="156">
        <f t="shared" si="0"/>
        <v>2.5</v>
      </c>
      <c r="C24" s="139">
        <v>9</v>
      </c>
      <c r="D24" s="23"/>
      <c r="E24" s="23"/>
      <c r="F24" s="23">
        <v>23.3</v>
      </c>
      <c r="G24" s="23">
        <v>11</v>
      </c>
      <c r="H24" s="23">
        <v>3.5</v>
      </c>
      <c r="I24" s="23">
        <v>1</v>
      </c>
      <c r="J24" s="23">
        <v>0.4</v>
      </c>
      <c r="K24" s="23">
        <v>0.1</v>
      </c>
      <c r="L24" s="23"/>
      <c r="M24" s="23"/>
      <c r="N24" s="23"/>
      <c r="O24" s="23"/>
      <c r="P24" s="23"/>
      <c r="Q24" s="159">
        <v>9</v>
      </c>
    </row>
    <row r="25" spans="1:17" x14ac:dyDescent="0.25">
      <c r="A25" s="2"/>
      <c r="B25" s="156">
        <f t="shared" si="0"/>
        <v>2.7777777777777777</v>
      </c>
      <c r="C25" s="139">
        <v>10</v>
      </c>
      <c r="D25" s="23"/>
      <c r="E25" s="23"/>
      <c r="F25" s="23">
        <v>28.3</v>
      </c>
      <c r="G25" s="23">
        <v>13.3</v>
      </c>
      <c r="H25" s="23">
        <v>4.2</v>
      </c>
      <c r="I25" s="23">
        <v>1.2</v>
      </c>
      <c r="J25" s="23">
        <v>0.5</v>
      </c>
      <c r="K25" s="23">
        <v>0.1</v>
      </c>
      <c r="L25" s="23"/>
      <c r="M25" s="23"/>
      <c r="N25" s="23"/>
      <c r="O25" s="23"/>
      <c r="P25" s="23"/>
      <c r="Q25" s="159">
        <v>10</v>
      </c>
    </row>
    <row r="26" spans="1:17" x14ac:dyDescent="0.25">
      <c r="A26" s="2"/>
      <c r="B26" s="156">
        <f t="shared" si="0"/>
        <v>3.3333333333333335</v>
      </c>
      <c r="C26" s="139">
        <v>12</v>
      </c>
      <c r="D26" s="23"/>
      <c r="E26" s="23"/>
      <c r="F26" s="23">
        <v>39.6</v>
      </c>
      <c r="G26" s="23">
        <v>18.7</v>
      </c>
      <c r="H26" s="23">
        <v>5.9</v>
      </c>
      <c r="I26" s="23">
        <v>1.7</v>
      </c>
      <c r="J26" s="23">
        <v>0.8</v>
      </c>
      <c r="K26" s="23">
        <v>0.2</v>
      </c>
      <c r="L26" s="23"/>
      <c r="M26" s="23"/>
      <c r="N26" s="23"/>
      <c r="O26" s="23"/>
      <c r="P26" s="23"/>
      <c r="Q26" s="159">
        <v>12</v>
      </c>
    </row>
    <row r="27" spans="1:17" x14ac:dyDescent="0.25">
      <c r="A27" s="2"/>
      <c r="B27" s="156">
        <f t="shared" si="0"/>
        <v>3.8888888888888888</v>
      </c>
      <c r="C27" s="139">
        <v>14</v>
      </c>
      <c r="D27" s="23"/>
      <c r="E27" s="23"/>
      <c r="F27" s="23">
        <v>52.7</v>
      </c>
      <c r="G27" s="23">
        <v>24.8</v>
      </c>
      <c r="H27" s="23">
        <v>7.8</v>
      </c>
      <c r="I27" s="23">
        <v>2.2000000000000002</v>
      </c>
      <c r="J27" s="23">
        <v>1</v>
      </c>
      <c r="K27" s="23">
        <v>0.3</v>
      </c>
      <c r="L27" s="23">
        <v>0.1</v>
      </c>
      <c r="M27" s="23"/>
      <c r="N27" s="23"/>
      <c r="O27" s="23"/>
      <c r="P27" s="23"/>
      <c r="Q27" s="159">
        <v>14</v>
      </c>
    </row>
    <row r="28" spans="1:17" x14ac:dyDescent="0.25">
      <c r="A28" s="2"/>
      <c r="B28" s="156">
        <f t="shared" si="0"/>
        <v>4.4444444444444446</v>
      </c>
      <c r="C28" s="139">
        <v>16</v>
      </c>
      <c r="D28" s="23"/>
      <c r="E28" s="23"/>
      <c r="F28" s="23"/>
      <c r="G28" s="23">
        <v>31.8</v>
      </c>
      <c r="H28" s="23">
        <v>10</v>
      </c>
      <c r="I28" s="23">
        <v>2.8</v>
      </c>
      <c r="J28" s="23">
        <v>1.3</v>
      </c>
      <c r="K28" s="23">
        <v>0.3</v>
      </c>
      <c r="L28" s="23">
        <v>0.1</v>
      </c>
      <c r="M28" s="23"/>
      <c r="N28" s="23"/>
      <c r="O28" s="23"/>
      <c r="P28" s="23"/>
      <c r="Q28" s="159">
        <v>16</v>
      </c>
    </row>
    <row r="29" spans="1:17" x14ac:dyDescent="0.25">
      <c r="A29" s="2"/>
      <c r="B29" s="156">
        <f t="shared" si="0"/>
        <v>5</v>
      </c>
      <c r="C29" s="139">
        <v>18</v>
      </c>
      <c r="D29" s="23"/>
      <c r="E29" s="23"/>
      <c r="F29" s="23"/>
      <c r="G29" s="23">
        <v>39.6</v>
      </c>
      <c r="H29" s="23">
        <v>12.5</v>
      </c>
      <c r="I29" s="23">
        <v>3.5</v>
      </c>
      <c r="J29" s="23">
        <v>1.6</v>
      </c>
      <c r="K29" s="23">
        <v>0.4</v>
      </c>
      <c r="L29" s="23">
        <v>0.2</v>
      </c>
      <c r="M29" s="23"/>
      <c r="N29" s="23"/>
      <c r="O29" s="23"/>
      <c r="P29" s="23"/>
      <c r="Q29" s="159">
        <v>18</v>
      </c>
    </row>
    <row r="30" spans="1:17" x14ac:dyDescent="0.25">
      <c r="A30" s="2"/>
      <c r="B30" s="156">
        <f t="shared" si="0"/>
        <v>5.5555555555555554</v>
      </c>
      <c r="C30" s="139">
        <v>20</v>
      </c>
      <c r="D30" s="23"/>
      <c r="E30" s="23"/>
      <c r="F30" s="23"/>
      <c r="G30" s="23">
        <v>48.1</v>
      </c>
      <c r="H30" s="23">
        <v>15.2</v>
      </c>
      <c r="I30" s="23">
        <v>4.3</v>
      </c>
      <c r="J30" s="23">
        <v>2</v>
      </c>
      <c r="K30" s="23">
        <v>0.5</v>
      </c>
      <c r="L30" s="23">
        <v>0.2</v>
      </c>
      <c r="M30" s="23">
        <v>0.1</v>
      </c>
      <c r="N30" s="23"/>
      <c r="O30" s="23"/>
      <c r="P30" s="23"/>
      <c r="Q30" s="159">
        <v>20</v>
      </c>
    </row>
    <row r="31" spans="1:17" x14ac:dyDescent="0.25">
      <c r="A31" s="2"/>
      <c r="B31" s="156">
        <f t="shared" si="0"/>
        <v>6.9444444444444446</v>
      </c>
      <c r="C31" s="139">
        <v>25</v>
      </c>
      <c r="D31" s="23"/>
      <c r="E31" s="23"/>
      <c r="F31" s="23"/>
      <c r="G31" s="23"/>
      <c r="H31" s="23">
        <v>23</v>
      </c>
      <c r="I31" s="23">
        <v>6.4</v>
      </c>
      <c r="J31" s="23">
        <v>3</v>
      </c>
      <c r="K31" s="23">
        <v>0.8</v>
      </c>
      <c r="L31" s="23">
        <v>0.3</v>
      </c>
      <c r="M31" s="23">
        <v>0.1</v>
      </c>
      <c r="N31" s="23"/>
      <c r="O31" s="23"/>
      <c r="P31" s="23"/>
      <c r="Q31" s="159">
        <v>25</v>
      </c>
    </row>
    <row r="32" spans="1:17" x14ac:dyDescent="0.25">
      <c r="A32" s="2"/>
      <c r="B32" s="156">
        <f t="shared" si="0"/>
        <v>8.3333333333333339</v>
      </c>
      <c r="C32" s="139">
        <v>30</v>
      </c>
      <c r="D32" s="23"/>
      <c r="E32" s="23"/>
      <c r="F32" s="23"/>
      <c r="G32" s="23"/>
      <c r="H32" s="23">
        <v>32.200000000000003</v>
      </c>
      <c r="I32" s="23">
        <v>9</v>
      </c>
      <c r="J32" s="23">
        <v>4.0999999999999996</v>
      </c>
      <c r="K32" s="23">
        <v>1.1000000000000001</v>
      </c>
      <c r="L32" s="23">
        <v>0.4</v>
      </c>
      <c r="M32" s="23">
        <v>0.2</v>
      </c>
      <c r="N32" s="23"/>
      <c r="O32" s="23"/>
      <c r="P32" s="23"/>
      <c r="Q32" s="159">
        <v>30</v>
      </c>
    </row>
    <row r="33" spans="1:17" x14ac:dyDescent="0.25">
      <c r="A33" s="2"/>
      <c r="B33" s="156">
        <f t="shared" si="0"/>
        <v>9.7222222222222214</v>
      </c>
      <c r="C33" s="139">
        <v>35</v>
      </c>
      <c r="D33" s="23"/>
      <c r="E33" s="23"/>
      <c r="F33" s="23"/>
      <c r="G33" s="23"/>
      <c r="H33" s="23">
        <v>42.8</v>
      </c>
      <c r="I33" s="23">
        <v>12</v>
      </c>
      <c r="J33" s="23">
        <v>5.5</v>
      </c>
      <c r="K33" s="23">
        <v>1.5</v>
      </c>
      <c r="L33" s="23">
        <v>0.5</v>
      </c>
      <c r="M33" s="23">
        <v>0.2</v>
      </c>
      <c r="N33" s="23"/>
      <c r="O33" s="23"/>
      <c r="P33" s="23"/>
      <c r="Q33" s="159">
        <v>35</v>
      </c>
    </row>
    <row r="34" spans="1:17" x14ac:dyDescent="0.25">
      <c r="A34" s="2"/>
      <c r="B34" s="156">
        <f t="shared" si="0"/>
        <v>11.111111111111111</v>
      </c>
      <c r="C34" s="139">
        <v>40</v>
      </c>
      <c r="D34" s="23"/>
      <c r="E34" s="23"/>
      <c r="F34" s="23"/>
      <c r="G34" s="23"/>
      <c r="H34" s="23"/>
      <c r="I34" s="23">
        <v>15.3</v>
      </c>
      <c r="J34" s="23">
        <v>7.1</v>
      </c>
      <c r="K34" s="23">
        <v>1.9</v>
      </c>
      <c r="L34" s="23">
        <v>0.7</v>
      </c>
      <c r="M34" s="23">
        <v>0.3</v>
      </c>
      <c r="N34" s="23">
        <v>0.1</v>
      </c>
      <c r="O34" s="23"/>
      <c r="P34" s="23"/>
      <c r="Q34" s="159">
        <v>40</v>
      </c>
    </row>
    <row r="35" spans="1:17" x14ac:dyDescent="0.25">
      <c r="A35" s="2"/>
      <c r="B35" s="156">
        <f t="shared" si="0"/>
        <v>12.5</v>
      </c>
      <c r="C35" s="139">
        <v>45</v>
      </c>
      <c r="D35" s="23"/>
      <c r="E35" s="23"/>
      <c r="F35" s="23"/>
      <c r="G35" s="23"/>
      <c r="H35" s="23"/>
      <c r="I35" s="23">
        <v>19.100000000000001</v>
      </c>
      <c r="J35" s="23">
        <v>8.8000000000000007</v>
      </c>
      <c r="K35" s="23">
        <v>2.4</v>
      </c>
      <c r="L35" s="23">
        <v>0.8</v>
      </c>
      <c r="M35" s="23">
        <v>0.4</v>
      </c>
      <c r="N35" s="23">
        <v>0.1</v>
      </c>
      <c r="O35" s="23"/>
      <c r="P35" s="23"/>
      <c r="Q35" s="159">
        <v>45</v>
      </c>
    </row>
    <row r="36" spans="1:17" x14ac:dyDescent="0.25">
      <c r="A36" s="2"/>
      <c r="B36" s="156">
        <f t="shared" si="0"/>
        <v>13.888888888888889</v>
      </c>
      <c r="C36" s="139">
        <v>50</v>
      </c>
      <c r="D36" s="23"/>
      <c r="E36" s="23"/>
      <c r="F36" s="23"/>
      <c r="G36" s="23"/>
      <c r="H36" s="23"/>
      <c r="I36" s="23">
        <v>23.2</v>
      </c>
      <c r="J36" s="23">
        <v>10.7</v>
      </c>
      <c r="K36" s="23">
        <v>2.9</v>
      </c>
      <c r="L36" s="23">
        <v>1</v>
      </c>
      <c r="M36" s="23">
        <v>0.4</v>
      </c>
      <c r="N36" s="23">
        <v>0.1</v>
      </c>
      <c r="O36" s="23"/>
      <c r="P36" s="23"/>
      <c r="Q36" s="159">
        <v>50</v>
      </c>
    </row>
    <row r="37" spans="1:17" x14ac:dyDescent="0.25">
      <c r="A37" s="2"/>
      <c r="B37" s="156">
        <f t="shared" si="0"/>
        <v>16.666666666666668</v>
      </c>
      <c r="C37" s="139">
        <v>60</v>
      </c>
      <c r="D37" s="23"/>
      <c r="E37" s="23"/>
      <c r="F37" s="23"/>
      <c r="G37" s="23"/>
      <c r="H37" s="23"/>
      <c r="I37" s="23"/>
      <c r="J37" s="23">
        <v>15</v>
      </c>
      <c r="K37" s="23">
        <v>4</v>
      </c>
      <c r="L37" s="23">
        <v>1.4</v>
      </c>
      <c r="M37" s="23">
        <v>0.6</v>
      </c>
      <c r="N37" s="23">
        <v>0.2</v>
      </c>
      <c r="O37" s="23"/>
      <c r="P37" s="23"/>
      <c r="Q37" s="159">
        <v>60</v>
      </c>
    </row>
    <row r="38" spans="1:17" x14ac:dyDescent="0.25">
      <c r="A38" s="2"/>
      <c r="B38" s="156">
        <f t="shared" si="0"/>
        <v>19.444444444444443</v>
      </c>
      <c r="C38" s="139">
        <v>70</v>
      </c>
      <c r="D38" s="23"/>
      <c r="E38" s="23"/>
      <c r="F38" s="23"/>
      <c r="G38" s="23"/>
      <c r="H38" s="23"/>
      <c r="I38" s="23"/>
      <c r="J38" s="23">
        <v>19.899999999999999</v>
      </c>
      <c r="K38" s="23">
        <v>5.4</v>
      </c>
      <c r="L38" s="23">
        <v>1.9</v>
      </c>
      <c r="M38" s="23">
        <v>0.8</v>
      </c>
      <c r="N38" s="23">
        <v>0.2</v>
      </c>
      <c r="O38" s="23">
        <v>0.1</v>
      </c>
      <c r="P38" s="23"/>
      <c r="Q38" s="159">
        <v>70</v>
      </c>
    </row>
    <row r="39" spans="1:17" x14ac:dyDescent="0.25">
      <c r="A39" s="2"/>
      <c r="B39" s="156">
        <f t="shared" si="0"/>
        <v>22.222222222222221</v>
      </c>
      <c r="C39" s="139">
        <v>80</v>
      </c>
      <c r="D39" s="23"/>
      <c r="E39" s="23"/>
      <c r="F39" s="23"/>
      <c r="G39" s="23"/>
      <c r="H39" s="23"/>
      <c r="I39" s="23"/>
      <c r="J39" s="23"/>
      <c r="K39" s="23">
        <v>6.9</v>
      </c>
      <c r="L39" s="23">
        <v>2.5</v>
      </c>
      <c r="M39" s="23">
        <v>1</v>
      </c>
      <c r="N39" s="23">
        <v>0.3</v>
      </c>
      <c r="O39" s="23">
        <v>0.1</v>
      </c>
      <c r="P39" s="23"/>
      <c r="Q39" s="159">
        <v>80</v>
      </c>
    </row>
    <row r="40" spans="1:17" x14ac:dyDescent="0.25">
      <c r="A40" s="2"/>
      <c r="B40" s="156">
        <f t="shared" si="0"/>
        <v>25</v>
      </c>
      <c r="C40" s="139">
        <v>90</v>
      </c>
      <c r="D40" s="23"/>
      <c r="E40" s="23"/>
      <c r="F40" s="23"/>
      <c r="G40" s="23"/>
      <c r="H40" s="23"/>
      <c r="I40" s="23"/>
      <c r="J40" s="23"/>
      <c r="K40" s="23">
        <v>8.5</v>
      </c>
      <c r="L40" s="23">
        <v>3.1</v>
      </c>
      <c r="M40" s="23">
        <v>1.3</v>
      </c>
      <c r="N40" s="23">
        <v>0.3</v>
      </c>
      <c r="O40" s="23">
        <v>0.1</v>
      </c>
      <c r="P40" s="23"/>
      <c r="Q40" s="159">
        <v>90</v>
      </c>
    </row>
    <row r="41" spans="1:17" x14ac:dyDescent="0.25">
      <c r="A41" s="2"/>
      <c r="B41" s="156">
        <f t="shared" si="0"/>
        <v>27.777777777777779</v>
      </c>
      <c r="C41" s="139">
        <v>100</v>
      </c>
      <c r="D41" s="23"/>
      <c r="E41" s="23"/>
      <c r="F41" s="23"/>
      <c r="G41" s="23"/>
      <c r="H41" s="23"/>
      <c r="I41" s="23"/>
      <c r="J41" s="23"/>
      <c r="K41" s="23">
        <v>10.4</v>
      </c>
      <c r="L41" s="23">
        <v>3.7</v>
      </c>
      <c r="M41" s="23">
        <v>1.5</v>
      </c>
      <c r="N41" s="23">
        <v>0.4</v>
      </c>
      <c r="O41" s="23">
        <v>0.1</v>
      </c>
      <c r="P41" s="23"/>
      <c r="Q41" s="159">
        <v>100</v>
      </c>
    </row>
    <row r="42" spans="1:17" x14ac:dyDescent="0.25">
      <c r="A42" s="2"/>
      <c r="B42" s="156">
        <f t="shared" si="0"/>
        <v>33.333333333333336</v>
      </c>
      <c r="C42" s="139">
        <v>120</v>
      </c>
      <c r="D42" s="23"/>
      <c r="E42" s="23"/>
      <c r="F42" s="23"/>
      <c r="G42" s="23"/>
      <c r="H42" s="23"/>
      <c r="I42" s="23"/>
      <c r="J42" s="23"/>
      <c r="K42" s="23"/>
      <c r="L42" s="23">
        <v>5.2</v>
      </c>
      <c r="M42" s="23">
        <v>2.2000000000000002</v>
      </c>
      <c r="N42" s="23">
        <v>0.6</v>
      </c>
      <c r="O42" s="23">
        <v>0.2</v>
      </c>
      <c r="P42" s="23">
        <v>0.1</v>
      </c>
      <c r="Q42" s="159">
        <v>120</v>
      </c>
    </row>
    <row r="43" spans="1:17" x14ac:dyDescent="0.25">
      <c r="A43" s="2"/>
      <c r="B43" s="156">
        <f t="shared" si="0"/>
        <v>38.888888888888886</v>
      </c>
      <c r="C43" s="139">
        <v>140</v>
      </c>
      <c r="D43" s="23"/>
      <c r="E43" s="23"/>
      <c r="F43" s="23"/>
      <c r="G43" s="23"/>
      <c r="H43" s="23"/>
      <c r="I43" s="23"/>
      <c r="J43" s="23"/>
      <c r="K43" s="23"/>
      <c r="L43" s="23">
        <v>6.9</v>
      </c>
      <c r="M43" s="23">
        <v>2.9</v>
      </c>
      <c r="N43" s="23">
        <v>0.7</v>
      </c>
      <c r="O43" s="23">
        <v>0.3</v>
      </c>
      <c r="P43" s="23">
        <v>0.1</v>
      </c>
      <c r="Q43" s="159">
        <v>140</v>
      </c>
    </row>
    <row r="44" spans="1:17" x14ac:dyDescent="0.25">
      <c r="A44" s="2"/>
      <c r="B44" s="156">
        <f t="shared" si="0"/>
        <v>44.444444444444443</v>
      </c>
      <c r="C44" s="139">
        <v>160</v>
      </c>
      <c r="D44" s="23"/>
      <c r="E44" s="23"/>
      <c r="F44" s="23"/>
      <c r="G44" s="23"/>
      <c r="H44" s="23"/>
      <c r="I44" s="23"/>
      <c r="J44" s="23"/>
      <c r="K44" s="23"/>
      <c r="L44" s="23">
        <v>8.9</v>
      </c>
      <c r="M44" s="23">
        <v>3.7</v>
      </c>
      <c r="N44" s="23">
        <v>1</v>
      </c>
      <c r="O44" s="23">
        <v>0.3</v>
      </c>
      <c r="P44" s="23">
        <v>0.1</v>
      </c>
      <c r="Q44" s="159">
        <v>160</v>
      </c>
    </row>
    <row r="45" spans="1:17" x14ac:dyDescent="0.25">
      <c r="A45" s="2"/>
      <c r="B45" s="156">
        <f t="shared" si="0"/>
        <v>50</v>
      </c>
      <c r="C45" s="139">
        <v>180</v>
      </c>
      <c r="D45" s="23"/>
      <c r="E45" s="23"/>
      <c r="F45" s="23"/>
      <c r="G45" s="23"/>
      <c r="H45" s="23"/>
      <c r="I45" s="23"/>
      <c r="J45" s="23"/>
      <c r="K45" s="23"/>
      <c r="L45" s="23"/>
      <c r="M45" s="23">
        <v>4.5999999999999996</v>
      </c>
      <c r="N45" s="23">
        <v>1.2</v>
      </c>
      <c r="O45" s="23">
        <v>0.4</v>
      </c>
      <c r="P45" s="23">
        <v>0.2</v>
      </c>
      <c r="Q45" s="159">
        <v>180</v>
      </c>
    </row>
    <row r="46" spans="1:17" x14ac:dyDescent="0.25">
      <c r="A46" s="2"/>
      <c r="B46" s="156">
        <f t="shared" si="0"/>
        <v>55.555555555555557</v>
      </c>
      <c r="C46" s="139">
        <v>200</v>
      </c>
      <c r="D46" s="23"/>
      <c r="E46" s="23"/>
      <c r="F46" s="23"/>
      <c r="G46" s="23"/>
      <c r="H46" s="23"/>
      <c r="I46" s="23"/>
      <c r="J46" s="23"/>
      <c r="K46" s="23"/>
      <c r="L46" s="23"/>
      <c r="M46" s="23">
        <v>5.6</v>
      </c>
      <c r="N46" s="23">
        <v>1.4</v>
      </c>
      <c r="O46" s="23">
        <v>0.5</v>
      </c>
      <c r="P46" s="23">
        <v>0.2</v>
      </c>
      <c r="Q46" s="159">
        <v>200</v>
      </c>
    </row>
    <row r="47" spans="1:17" x14ac:dyDescent="0.25">
      <c r="A47" s="2"/>
      <c r="B47" s="156">
        <f t="shared" si="0"/>
        <v>69.444444444444443</v>
      </c>
      <c r="C47" s="139">
        <v>250</v>
      </c>
      <c r="D47" s="23"/>
      <c r="E47" s="23"/>
      <c r="F47" s="23"/>
      <c r="G47" s="23"/>
      <c r="H47" s="23"/>
      <c r="I47" s="23"/>
      <c r="J47" s="23"/>
      <c r="K47" s="23"/>
      <c r="L47" s="23"/>
      <c r="M47" s="23">
        <v>8.4</v>
      </c>
      <c r="N47" s="23">
        <v>2.2000000000000002</v>
      </c>
      <c r="O47" s="23">
        <v>0.7</v>
      </c>
      <c r="P47" s="23">
        <v>0.3</v>
      </c>
      <c r="Q47" s="159">
        <v>250</v>
      </c>
    </row>
    <row r="48" spans="1:17" x14ac:dyDescent="0.25">
      <c r="A48" s="2"/>
      <c r="B48" s="156">
        <f t="shared" si="0"/>
        <v>83.333333333333329</v>
      </c>
      <c r="C48" s="139">
        <v>300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>
        <v>3.1</v>
      </c>
      <c r="O48" s="23">
        <v>1</v>
      </c>
      <c r="P48" s="23">
        <v>0.4</v>
      </c>
      <c r="Q48" s="159">
        <v>300</v>
      </c>
    </row>
    <row r="49" spans="1:17" x14ac:dyDescent="0.25">
      <c r="A49" s="2"/>
      <c r="B49" s="156">
        <f t="shared" si="0"/>
        <v>97.222222222222229</v>
      </c>
      <c r="C49" s="139">
        <v>350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>
        <v>4.0999999999999996</v>
      </c>
      <c r="O49" s="23">
        <v>1.4</v>
      </c>
      <c r="P49" s="23">
        <v>0.6</v>
      </c>
      <c r="Q49" s="159">
        <v>350</v>
      </c>
    </row>
    <row r="50" spans="1:17" x14ac:dyDescent="0.25">
      <c r="A50" s="2"/>
      <c r="B50" s="156">
        <f t="shared" si="0"/>
        <v>111.11111111111111</v>
      </c>
      <c r="C50" s="139">
        <v>400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>
        <v>1.8</v>
      </c>
      <c r="P50" s="23">
        <v>0.7</v>
      </c>
      <c r="Q50" s="159">
        <v>400</v>
      </c>
    </row>
    <row r="51" spans="1:17" x14ac:dyDescent="0.25">
      <c r="A51" s="2"/>
      <c r="B51" s="156">
        <f t="shared" si="0"/>
        <v>125</v>
      </c>
      <c r="C51" s="139">
        <v>450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>
        <v>2.2000000000000002</v>
      </c>
      <c r="P51" s="23">
        <v>0.9</v>
      </c>
      <c r="Q51" s="159">
        <v>450</v>
      </c>
    </row>
    <row r="52" spans="1:17" x14ac:dyDescent="0.25">
      <c r="A52" s="2"/>
      <c r="B52" s="156">
        <f t="shared" si="0"/>
        <v>138.88888888888889</v>
      </c>
      <c r="C52" s="139">
        <v>500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2.7</v>
      </c>
      <c r="P52" s="23">
        <v>1.1000000000000001</v>
      </c>
      <c r="Q52" s="159">
        <v>500</v>
      </c>
    </row>
    <row r="53" spans="1:17" x14ac:dyDescent="0.25">
      <c r="A53" s="2"/>
      <c r="B53" s="156">
        <f t="shared" si="0"/>
        <v>166.66666666666666</v>
      </c>
      <c r="C53" s="139">
        <v>600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3.7</v>
      </c>
      <c r="P53" s="23">
        <v>1.5</v>
      </c>
      <c r="Q53" s="159">
        <v>600</v>
      </c>
    </row>
    <row r="54" spans="1:17" x14ac:dyDescent="0.25">
      <c r="A54" s="2"/>
      <c r="B54" s="156">
        <f t="shared" si="0"/>
        <v>194.44444444444446</v>
      </c>
      <c r="C54" s="139">
        <v>700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>
        <v>2</v>
      </c>
      <c r="Q54" s="159">
        <v>700</v>
      </c>
    </row>
    <row r="55" spans="1:17" x14ac:dyDescent="0.25">
      <c r="A55" s="2"/>
      <c r="B55" s="156">
        <f t="shared" si="0"/>
        <v>222.22222222222223</v>
      </c>
      <c r="C55" s="139">
        <v>800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>
        <v>2.6</v>
      </c>
      <c r="Q55" s="159">
        <v>800</v>
      </c>
    </row>
    <row r="56" spans="1:17" ht="15.75" thickBot="1" x14ac:dyDescent="0.3">
      <c r="A56" s="101"/>
      <c r="B56" s="160"/>
      <c r="C56" s="103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4"/>
    </row>
  </sheetData>
  <sheetProtection algorithmName="SHA-512" hashValue="69wtQrN0SsYYTfM6505dLEyOZcp9MU3YX9Ve6jzal27QhtEXGzMc/d0Yxes4Jc7X5ta6C7VfkYFW6hrsEoRYMQ==" saltValue="H+NT9PlYPkn0WJQtg5aRXg==" spinCount="100000" sheet="1" objects="1" scenarios="1" formatCells="0"/>
  <customSheetViews>
    <customSheetView guid="{C2890FB4-BE88-474C-B3CD-908783EA9CB2}">
      <pageMargins left="0.511811024" right="0.511811024" top="0.78740157499999996" bottom="0.78740157499999996" header="0.31496062000000002" footer="0.31496062000000002"/>
    </customSheetView>
  </customSheetViews>
  <mergeCells count="4">
    <mergeCell ref="A1:Q1"/>
    <mergeCell ref="B2:Q2"/>
    <mergeCell ref="A3:Q3"/>
    <mergeCell ref="C4:Q4"/>
  </mergeCells>
  <hyperlinks>
    <hyperlink ref="A2" location="Índice!A1" display="Voltar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Índice</vt:lpstr>
      <vt:lpstr>Plan1</vt:lpstr>
      <vt:lpstr>Expansão Termica</vt:lpstr>
      <vt:lpstr>Resistência Química</vt:lpstr>
      <vt:lpstr>Consumo Adesivo</vt:lpstr>
      <vt:lpstr>Distância Suportes</vt:lpstr>
      <vt:lpstr>Parafusos e Porcas p Flanges</vt:lpstr>
      <vt:lpstr>Perda de carga PVC-U x Aço</vt:lpstr>
      <vt:lpstr>Perda de carga Tubos aço</vt:lpstr>
      <vt:lpstr>Tubos PVC-U e CPVC</vt:lpstr>
      <vt:lpstr>Condutividade Termica</vt:lpstr>
      <vt:lpstr>Pesos tubos  cheios</vt:lpstr>
      <vt:lpstr>Válvulas vapor</vt:lpstr>
      <vt:lpstr>Válvulas Ar</vt:lpstr>
      <vt:lpstr>Pressão x Temp</vt:lpstr>
      <vt:lpstr>Área Tubos </vt:lpstr>
      <vt:lpstr>Dimensões dos tubos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DAVI</cp:lastModifiedBy>
  <dcterms:created xsi:type="dcterms:W3CDTF">2018-03-02T18:15:13Z</dcterms:created>
  <dcterms:modified xsi:type="dcterms:W3CDTF">2020-03-16T15:13:01Z</dcterms:modified>
</cp:coreProperties>
</file>